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4415" windowHeight="11640" activeTab="6"/>
  </bookViews>
  <sheets>
    <sheet name="十三五汇总" sheetId="1" r:id="rId1"/>
    <sheet name="水源工程（中、小（1）型）1" sheetId="2" r:id="rId2"/>
    <sheet name="水源工程（小（2）型）2" sheetId="3" r:id="rId3"/>
    <sheet name="中小河流治理3" sheetId="4" r:id="rId4"/>
    <sheet name="连通工程4" sheetId="5" r:id="rId5"/>
    <sheet name="滇中引水配套工程5" sheetId="6" r:id="rId6"/>
    <sheet name="水库清淤6" sheetId="7" r:id="rId7"/>
    <sheet name="中型灌区续建配套7" sheetId="8" r:id="rId8"/>
    <sheet name="小型灌区8" sheetId="9" r:id="rId9"/>
    <sheet name="农村饮水提质增效（20立方以上）附1" sheetId="10" r:id="rId10"/>
    <sheet name="农村饮水提质增效（20立方以下）附2" sheetId="11" r:id="rId11"/>
    <sheet name="农村饮水提质增效（汇总）9" sheetId="12" r:id="rId12"/>
    <sheet name="重点县建设10" sheetId="13" r:id="rId13"/>
    <sheet name="五小水利11" sheetId="14" r:id="rId14"/>
    <sheet name="特色产业高效节水灌溉12" sheetId="15" r:id="rId15"/>
    <sheet name="水土保持13" sheetId="16" r:id="rId16"/>
    <sheet name="水源地保护14" sheetId="17" r:id="rId17"/>
    <sheet name="农村河道治理15" sheetId="18" r:id="rId18"/>
    <sheet name="河闸除险加固16" sheetId="19" r:id="rId19"/>
    <sheet name="山洪沟灾害防治治理17" sheetId="20" r:id="rId20"/>
    <sheet name="抗旱应急工程18" sheetId="21" r:id="rId21"/>
    <sheet name="水务基层服务体系能力建设19" sheetId="22" r:id="rId22"/>
    <sheet name="水利信息化建设20" sheetId="23" r:id="rId23"/>
    <sheet name="污水处理项目21" sheetId="24" r:id="rId24"/>
  </sheets>
  <externalReferences>
    <externalReference r:id="rId27"/>
  </externalReferences>
  <definedNames>
    <definedName name="_xlnm.Print_Area" localSheetId="20">'抗旱应急工程18'!$A$1:$AD$27</definedName>
    <definedName name="_xlnm.Print_Area" localSheetId="4">'连通工程4'!$A$1:$AJ$24</definedName>
    <definedName name="_xlnm.Print_Area" localSheetId="17">'农村河道治理15'!$A$1:$W$72</definedName>
    <definedName name="_xlnm.Print_Area" localSheetId="9">'农村饮水提质增效（20立方以上）附1'!$A$1:$AA$199</definedName>
    <definedName name="_xlnm.Print_Area" localSheetId="10">'农村饮水提质增效（20立方以下）附2'!$A$1:$R$164</definedName>
    <definedName name="_xlnm.Print_Area" localSheetId="11">'农村饮水提质增效（汇总）9'!#REF!</definedName>
    <definedName name="_xlnm.Print_Area" localSheetId="19">'山洪沟灾害防治治理17'!$A$1:$T$38</definedName>
    <definedName name="_xlnm.Print_Area" localSheetId="0">'十三五汇总'!$A$1:$G$86</definedName>
    <definedName name="_xlnm.Print_Area" localSheetId="6">'水库清淤6'!$A$1:$AC$102</definedName>
    <definedName name="_xlnm.Print_Area" localSheetId="22">'水利信息化建设20'!$A$1:$N$48</definedName>
    <definedName name="_xlnm.Print_Area" localSheetId="2">'水源工程（小（2）型）2'!$A$1:$AT$51</definedName>
    <definedName name="_xlnm.Print_Area" localSheetId="14">'特色产业高效节水灌溉12'!$A$1:$AK$27</definedName>
    <definedName name="_xlnm.Print_Area" localSheetId="23">'污水处理项目21'!$A$1:$M$13</definedName>
    <definedName name="_xlnm.Print_Area" localSheetId="13">'五小水利11'!$A$1:$T$100</definedName>
    <definedName name="_xlnm.Print_Area" localSheetId="8">'小型灌区8'!$A$1:$S$30</definedName>
    <definedName name="_xlnm.Print_Area" localSheetId="3">'中小河流治理3'!$A$1:$AV$18</definedName>
    <definedName name="_xlnm.Print_Area" localSheetId="12">'重点县建设10'!$A$1:$S$96</definedName>
    <definedName name="_xlnm.Print_Titles" localSheetId="20">'抗旱应急工程18'!$1:$5</definedName>
    <definedName name="_xlnm.Print_Titles" localSheetId="4">'连通工程4'!$1:$6</definedName>
    <definedName name="_xlnm.Print_Titles" localSheetId="17">'农村河道治理15'!$1:$6</definedName>
    <definedName name="_xlnm.Print_Titles" localSheetId="9">'农村饮水提质增效（20立方以上）附1'!$1:$8</definedName>
    <definedName name="_xlnm.Print_Titles" localSheetId="10">'农村饮水提质增效（20立方以下）附2'!$1:$6</definedName>
    <definedName name="_xlnm.Print_Titles" localSheetId="19">'山洪沟灾害防治治理17'!$1:$3</definedName>
    <definedName name="_xlnm.Print_Titles" localSheetId="0">'十三五汇总'!$1:$2</definedName>
    <definedName name="_xlnm.Print_Titles" localSheetId="6">'水库清淤6'!$1:$3</definedName>
    <definedName name="_xlnm.Print_Titles" localSheetId="22">'水利信息化建设20'!$1:$3</definedName>
    <definedName name="_xlnm.Print_Titles" localSheetId="2">'水源工程（小（2）型）2'!$1:$4</definedName>
    <definedName name="_xlnm.Print_Titles" localSheetId="14">'特色产业高效节水灌溉12'!$1:$4</definedName>
    <definedName name="_xlnm.Print_Titles" localSheetId="13">'五小水利11'!$1:$3</definedName>
    <definedName name="_xlnm.Print_Titles" localSheetId="8">'小型灌区8'!$1:$3</definedName>
    <definedName name="_xlnm.Print_Titles" localSheetId="3">'中小河流治理3'!$1:$4</definedName>
    <definedName name="_xlnm.Print_Titles" localSheetId="12">'重点县建设10'!$1:$3</definedName>
  </definedNames>
  <calcPr fullCalcOnLoad="1"/>
</workbook>
</file>

<file path=xl/comments14.xml><?xml version="1.0" encoding="utf-8"?>
<comments xmlns="http://schemas.openxmlformats.org/spreadsheetml/2006/main">
  <authors>
    <author>user</author>
  </authors>
  <commentList>
    <comment ref="O94" authorId="0">
      <text>
        <r>
          <rPr>
            <b/>
            <sz val="9"/>
            <rFont val="宋体"/>
            <family val="0"/>
          </rPr>
          <t>user:</t>
        </r>
        <r>
          <rPr>
            <sz val="9"/>
            <rFont val="宋体"/>
            <family val="0"/>
          </rPr>
          <t xml:space="preserve">
地且温泉井</t>
        </r>
      </text>
    </comment>
  </commentList>
</comments>
</file>

<file path=xl/comments3.xml><?xml version="1.0" encoding="utf-8"?>
<comments xmlns="http://schemas.openxmlformats.org/spreadsheetml/2006/main">
  <authors>
    <author>作者</author>
  </authors>
  <commentList>
    <comment ref="I2" authorId="0">
      <text>
        <r>
          <rPr>
            <b/>
            <sz val="9"/>
            <rFont val="宋体"/>
            <family val="0"/>
          </rPr>
          <t>作者:</t>
        </r>
        <r>
          <rPr>
            <sz val="9"/>
            <rFont val="宋体"/>
            <family val="0"/>
          </rPr>
          <t xml:space="preserve">
xx乡镇xx村</t>
        </r>
      </text>
    </comment>
    <comment ref="J3" authorId="0">
      <text>
        <r>
          <rPr>
            <b/>
            <sz val="9"/>
            <rFont val="宋体"/>
            <family val="0"/>
          </rPr>
          <t>作者:</t>
        </r>
        <r>
          <rPr>
            <sz val="9"/>
            <rFont val="宋体"/>
            <family val="0"/>
          </rPr>
          <t xml:space="preserve">
h填坝址中心位置，示例（东经121度32分51秒填写为：1213251，北纬30度13分5秒填写为：301305）</t>
        </r>
      </text>
    </comment>
    <comment ref="H5" authorId="0">
      <text>
        <r>
          <rPr>
            <b/>
            <sz val="9"/>
            <rFont val="宋体"/>
            <family val="0"/>
          </rPr>
          <t>作者:</t>
        </r>
        <r>
          <rPr>
            <sz val="9"/>
            <rFont val="宋体"/>
            <family val="0"/>
          </rPr>
          <t xml:space="preserve">
94.2</t>
        </r>
      </text>
    </comment>
    <comment ref="Y5" authorId="0">
      <text>
        <r>
          <rPr>
            <b/>
            <sz val="9"/>
            <rFont val="宋体"/>
            <family val="0"/>
          </rPr>
          <t>作者:</t>
        </r>
        <r>
          <rPr>
            <sz val="9"/>
            <rFont val="宋体"/>
            <family val="0"/>
          </rPr>
          <t xml:space="preserve">
180</t>
        </r>
      </text>
    </comment>
    <comment ref="AG5" authorId="0">
      <text>
        <r>
          <rPr>
            <b/>
            <sz val="9"/>
            <rFont val="宋体"/>
            <family val="0"/>
          </rPr>
          <t>作者:</t>
        </r>
        <r>
          <rPr>
            <sz val="9"/>
            <rFont val="宋体"/>
            <family val="0"/>
          </rPr>
          <t xml:space="preserve">
0.06</t>
        </r>
      </text>
    </comment>
    <comment ref="H6" authorId="0">
      <text>
        <r>
          <rPr>
            <b/>
            <sz val="9"/>
            <rFont val="Tahoma"/>
            <family val="2"/>
          </rPr>
          <t>作者:</t>
        </r>
        <r>
          <rPr>
            <sz val="9"/>
            <rFont val="Tahoma"/>
            <family val="2"/>
          </rPr>
          <t xml:space="preserve">
59.2</t>
        </r>
      </text>
    </comment>
    <comment ref="W6" authorId="0">
      <text>
        <r>
          <rPr>
            <b/>
            <sz val="9"/>
            <rFont val="Tahoma"/>
            <family val="2"/>
          </rPr>
          <t>作者:</t>
        </r>
        <r>
          <rPr>
            <sz val="9"/>
            <rFont val="Tahoma"/>
            <family val="2"/>
          </rPr>
          <t xml:space="preserve">
0.3</t>
        </r>
      </text>
    </comment>
    <comment ref="Y6" authorId="0">
      <text>
        <r>
          <rPr>
            <b/>
            <sz val="9"/>
            <rFont val="Tahoma"/>
            <family val="2"/>
          </rPr>
          <t>作者:</t>
        </r>
        <r>
          <rPr>
            <sz val="9"/>
            <rFont val="Tahoma"/>
            <family val="2"/>
          </rPr>
          <t xml:space="preserve">
90</t>
        </r>
      </text>
    </comment>
    <comment ref="Z6" authorId="0">
      <text>
        <r>
          <rPr>
            <b/>
            <sz val="9"/>
            <rFont val="Tahoma"/>
            <family val="2"/>
          </rPr>
          <t>作者:</t>
        </r>
        <r>
          <rPr>
            <sz val="9"/>
            <rFont val="Tahoma"/>
            <family val="2"/>
          </rPr>
          <t xml:space="preserve">
23.4</t>
        </r>
      </text>
    </comment>
    <comment ref="H7" authorId="0">
      <text>
        <r>
          <rPr>
            <b/>
            <sz val="9"/>
            <rFont val="Tahoma"/>
            <family val="2"/>
          </rPr>
          <t>作者:</t>
        </r>
        <r>
          <rPr>
            <sz val="9"/>
            <rFont val="Tahoma"/>
            <family val="2"/>
          </rPr>
          <t xml:space="preserve">
104</t>
        </r>
      </text>
    </comment>
    <comment ref="W7" authorId="0">
      <text>
        <r>
          <rPr>
            <b/>
            <sz val="9"/>
            <rFont val="Tahoma"/>
            <family val="2"/>
          </rPr>
          <t>作者:</t>
        </r>
        <r>
          <rPr>
            <sz val="9"/>
            <rFont val="Tahoma"/>
            <family val="2"/>
          </rPr>
          <t xml:space="preserve">
0.12</t>
        </r>
      </text>
    </comment>
    <comment ref="Z7" authorId="0">
      <text>
        <r>
          <rPr>
            <b/>
            <sz val="9"/>
            <rFont val="Tahoma"/>
            <family val="2"/>
          </rPr>
          <t>作者:</t>
        </r>
        <r>
          <rPr>
            <sz val="9"/>
            <rFont val="Tahoma"/>
            <family val="2"/>
          </rPr>
          <t xml:space="preserve">
14.56</t>
        </r>
      </text>
    </comment>
    <comment ref="H8" authorId="0">
      <text>
        <r>
          <rPr>
            <b/>
            <sz val="9"/>
            <rFont val="宋体"/>
            <family val="0"/>
          </rPr>
          <t>作者:</t>
        </r>
        <r>
          <rPr>
            <sz val="9"/>
            <rFont val="宋体"/>
            <family val="0"/>
          </rPr>
          <t xml:space="preserve">
86.4</t>
        </r>
      </text>
    </comment>
    <comment ref="R8" authorId="0">
      <text>
        <r>
          <rPr>
            <b/>
            <sz val="9"/>
            <rFont val="宋体"/>
            <family val="0"/>
          </rPr>
          <t>作者:</t>
        </r>
        <r>
          <rPr>
            <sz val="9"/>
            <rFont val="宋体"/>
            <family val="0"/>
          </rPr>
          <t xml:space="preserve">
19.5</t>
        </r>
      </text>
    </comment>
    <comment ref="S8" authorId="0">
      <text>
        <r>
          <rPr>
            <b/>
            <sz val="9"/>
            <rFont val="宋体"/>
            <family val="0"/>
          </rPr>
          <t>作者:</t>
        </r>
        <r>
          <rPr>
            <sz val="9"/>
            <rFont val="宋体"/>
            <family val="0"/>
          </rPr>
          <t xml:space="preserve">
15.6</t>
        </r>
      </text>
    </comment>
    <comment ref="Y8" authorId="0">
      <text>
        <r>
          <rPr>
            <b/>
            <sz val="9"/>
            <rFont val="宋体"/>
            <family val="0"/>
          </rPr>
          <t>作者:</t>
        </r>
        <r>
          <rPr>
            <sz val="9"/>
            <rFont val="宋体"/>
            <family val="0"/>
          </rPr>
          <t xml:space="preserve">
20</t>
        </r>
      </text>
    </comment>
    <comment ref="H9" authorId="0">
      <text>
        <r>
          <rPr>
            <b/>
            <sz val="9"/>
            <rFont val="宋体"/>
            <family val="0"/>
          </rPr>
          <t>作者:</t>
        </r>
        <r>
          <rPr>
            <sz val="9"/>
            <rFont val="宋体"/>
            <family val="0"/>
          </rPr>
          <t xml:space="preserve">
58</t>
        </r>
      </text>
    </comment>
    <comment ref="Y9" authorId="0">
      <text>
        <r>
          <rPr>
            <b/>
            <sz val="9"/>
            <rFont val="宋体"/>
            <family val="0"/>
          </rPr>
          <t>作者:</t>
        </r>
        <r>
          <rPr>
            <sz val="9"/>
            <rFont val="宋体"/>
            <family val="0"/>
          </rPr>
          <t xml:space="preserve">
0</t>
        </r>
      </text>
    </comment>
    <comment ref="Z9" authorId="0">
      <text>
        <r>
          <rPr>
            <b/>
            <sz val="9"/>
            <rFont val="宋体"/>
            <family val="0"/>
          </rPr>
          <t>作者:</t>
        </r>
        <r>
          <rPr>
            <sz val="9"/>
            <rFont val="宋体"/>
            <family val="0"/>
          </rPr>
          <t xml:space="preserve">
26</t>
        </r>
      </text>
    </comment>
    <comment ref="H10" authorId="0">
      <text>
        <r>
          <rPr>
            <b/>
            <sz val="9"/>
            <rFont val="宋体"/>
            <family val="0"/>
          </rPr>
          <t>作者:</t>
        </r>
        <r>
          <rPr>
            <sz val="9"/>
            <rFont val="宋体"/>
            <family val="0"/>
          </rPr>
          <t xml:space="preserve">
49.6</t>
        </r>
      </text>
    </comment>
    <comment ref="Z10" authorId="0">
      <text>
        <r>
          <rPr>
            <b/>
            <sz val="9"/>
            <rFont val="宋体"/>
            <family val="0"/>
          </rPr>
          <t>作者:</t>
        </r>
        <r>
          <rPr>
            <sz val="9"/>
            <rFont val="宋体"/>
            <family val="0"/>
          </rPr>
          <t xml:space="preserve">
15.47</t>
        </r>
      </text>
    </comment>
    <comment ref="AG10" authorId="0">
      <text>
        <r>
          <rPr>
            <b/>
            <sz val="9"/>
            <rFont val="宋体"/>
            <family val="0"/>
          </rPr>
          <t>作者:</t>
        </r>
        <r>
          <rPr>
            <sz val="9"/>
            <rFont val="宋体"/>
            <family val="0"/>
          </rPr>
          <t xml:space="preserve">
0.026</t>
        </r>
      </text>
    </comment>
    <comment ref="H11" authorId="0">
      <text>
        <r>
          <rPr>
            <b/>
            <sz val="9"/>
            <rFont val="宋体"/>
            <family val="0"/>
          </rPr>
          <t>作者:</t>
        </r>
        <r>
          <rPr>
            <sz val="9"/>
            <rFont val="宋体"/>
            <family val="0"/>
          </rPr>
          <t xml:space="preserve">
51</t>
        </r>
      </text>
    </comment>
    <comment ref="R11" authorId="0">
      <text>
        <r>
          <rPr>
            <b/>
            <sz val="9"/>
            <rFont val="宋体"/>
            <family val="0"/>
          </rPr>
          <t>作者:</t>
        </r>
        <r>
          <rPr>
            <sz val="9"/>
            <rFont val="宋体"/>
            <family val="0"/>
          </rPr>
          <t xml:space="preserve">
21</t>
        </r>
      </text>
    </comment>
    <comment ref="S11" authorId="0">
      <text>
        <r>
          <rPr>
            <b/>
            <sz val="9"/>
            <rFont val="宋体"/>
            <family val="0"/>
          </rPr>
          <t>作者:</t>
        </r>
        <r>
          <rPr>
            <sz val="9"/>
            <rFont val="宋体"/>
            <family val="0"/>
          </rPr>
          <t xml:space="preserve">
17</t>
        </r>
      </text>
    </comment>
    <comment ref="H12" authorId="0">
      <text>
        <r>
          <rPr>
            <b/>
            <sz val="9"/>
            <rFont val="宋体"/>
            <family val="0"/>
          </rPr>
          <t>作者:</t>
        </r>
        <r>
          <rPr>
            <sz val="9"/>
            <rFont val="宋体"/>
            <family val="0"/>
          </rPr>
          <t xml:space="preserve">
20.4</t>
        </r>
      </text>
    </comment>
    <comment ref="H13" authorId="0">
      <text>
        <r>
          <rPr>
            <b/>
            <sz val="9"/>
            <rFont val="宋体"/>
            <family val="0"/>
          </rPr>
          <t>作者:</t>
        </r>
        <r>
          <rPr>
            <sz val="9"/>
            <rFont val="宋体"/>
            <family val="0"/>
          </rPr>
          <t xml:space="preserve">
33.9</t>
        </r>
      </text>
    </comment>
    <comment ref="Y13" authorId="0">
      <text>
        <r>
          <rPr>
            <b/>
            <sz val="9"/>
            <rFont val="宋体"/>
            <family val="0"/>
          </rPr>
          <t>作者:</t>
        </r>
        <r>
          <rPr>
            <sz val="9"/>
            <rFont val="宋体"/>
            <family val="0"/>
          </rPr>
          <t xml:space="preserve">
空</t>
        </r>
      </text>
    </comment>
    <comment ref="H14" authorId="0">
      <text>
        <r>
          <rPr>
            <b/>
            <sz val="9"/>
            <rFont val="宋体"/>
            <family val="0"/>
          </rPr>
          <t>作者:</t>
        </r>
        <r>
          <rPr>
            <sz val="9"/>
            <rFont val="宋体"/>
            <family val="0"/>
          </rPr>
          <t xml:space="preserve">
93.5</t>
        </r>
      </text>
    </comment>
    <comment ref="H15" authorId="0">
      <text>
        <r>
          <rPr>
            <b/>
            <sz val="9"/>
            <rFont val="宋体"/>
            <family val="0"/>
          </rPr>
          <t>作者:</t>
        </r>
        <r>
          <rPr>
            <sz val="9"/>
            <rFont val="宋体"/>
            <family val="0"/>
          </rPr>
          <t xml:space="preserve">
26</t>
        </r>
      </text>
    </comment>
    <comment ref="Y15" authorId="0">
      <text>
        <r>
          <rPr>
            <b/>
            <sz val="9"/>
            <rFont val="宋体"/>
            <family val="0"/>
          </rPr>
          <t>作者:</t>
        </r>
        <r>
          <rPr>
            <sz val="9"/>
            <rFont val="宋体"/>
            <family val="0"/>
          </rPr>
          <t xml:space="preserve">
空</t>
        </r>
      </text>
    </comment>
    <comment ref="H16" authorId="0">
      <text>
        <r>
          <rPr>
            <b/>
            <sz val="9"/>
            <rFont val="宋体"/>
            <family val="0"/>
          </rPr>
          <t>作者:</t>
        </r>
        <r>
          <rPr>
            <sz val="9"/>
            <rFont val="宋体"/>
            <family val="0"/>
          </rPr>
          <t xml:space="preserve">
45</t>
        </r>
      </text>
    </comment>
    <comment ref="H17" authorId="0">
      <text>
        <r>
          <rPr>
            <b/>
            <sz val="9"/>
            <rFont val="宋体"/>
            <family val="0"/>
          </rPr>
          <t>作者:</t>
        </r>
        <r>
          <rPr>
            <sz val="9"/>
            <rFont val="宋体"/>
            <family val="0"/>
          </rPr>
          <t xml:space="preserve">
30</t>
        </r>
      </text>
    </comment>
    <comment ref="H18" authorId="0">
      <text>
        <r>
          <rPr>
            <b/>
            <sz val="9"/>
            <rFont val="宋体"/>
            <family val="0"/>
          </rPr>
          <t>作者:</t>
        </r>
        <r>
          <rPr>
            <sz val="9"/>
            <rFont val="宋体"/>
            <family val="0"/>
          </rPr>
          <t xml:space="preserve">
33.6</t>
        </r>
      </text>
    </comment>
    <comment ref="H19" authorId="0">
      <text>
        <r>
          <rPr>
            <b/>
            <sz val="9"/>
            <rFont val="宋体"/>
            <family val="0"/>
          </rPr>
          <t>作者:</t>
        </r>
        <r>
          <rPr>
            <sz val="9"/>
            <rFont val="宋体"/>
            <family val="0"/>
          </rPr>
          <t xml:space="preserve">
49.6</t>
        </r>
      </text>
    </comment>
    <comment ref="H20" authorId="0">
      <text>
        <r>
          <rPr>
            <b/>
            <sz val="9"/>
            <rFont val="宋体"/>
            <family val="0"/>
          </rPr>
          <t>作者:</t>
        </r>
        <r>
          <rPr>
            <sz val="9"/>
            <rFont val="宋体"/>
            <family val="0"/>
          </rPr>
          <t xml:space="preserve">
88</t>
        </r>
      </text>
    </comment>
    <comment ref="H21" authorId="0">
      <text>
        <r>
          <rPr>
            <b/>
            <sz val="9"/>
            <rFont val="宋体"/>
            <family val="0"/>
          </rPr>
          <t>作者:</t>
        </r>
        <r>
          <rPr>
            <sz val="9"/>
            <rFont val="宋体"/>
            <family val="0"/>
          </rPr>
          <t xml:space="preserve">
33.6</t>
        </r>
      </text>
    </comment>
    <comment ref="H22" authorId="0">
      <text>
        <r>
          <rPr>
            <b/>
            <sz val="9"/>
            <rFont val="宋体"/>
            <family val="0"/>
          </rPr>
          <t>作者:</t>
        </r>
        <r>
          <rPr>
            <sz val="9"/>
            <rFont val="宋体"/>
            <family val="0"/>
          </rPr>
          <t xml:space="preserve">
50</t>
        </r>
      </text>
    </comment>
    <comment ref="H23" authorId="0">
      <text>
        <r>
          <rPr>
            <b/>
            <sz val="9"/>
            <rFont val="宋体"/>
            <family val="0"/>
          </rPr>
          <t>作者:</t>
        </r>
        <r>
          <rPr>
            <sz val="9"/>
            <rFont val="宋体"/>
            <family val="0"/>
          </rPr>
          <t xml:space="preserve">
49.6</t>
        </r>
      </text>
    </comment>
    <comment ref="H24" authorId="0">
      <text>
        <r>
          <rPr>
            <b/>
            <sz val="9"/>
            <rFont val="宋体"/>
            <family val="0"/>
          </rPr>
          <t>作者:</t>
        </r>
        <r>
          <rPr>
            <sz val="9"/>
            <rFont val="宋体"/>
            <family val="0"/>
          </rPr>
          <t xml:space="preserve">
44.8</t>
        </r>
      </text>
    </comment>
  </commentList>
</comments>
</file>

<file path=xl/comments4.xml><?xml version="1.0" encoding="utf-8"?>
<comments xmlns="http://schemas.openxmlformats.org/spreadsheetml/2006/main">
  <authors>
    <author>Administrator</author>
    <author>IBM</author>
  </authors>
  <commentList>
    <comment ref="AK2" authorId="0">
      <text>
        <r>
          <rPr>
            <sz val="9"/>
            <rFont val="宋体"/>
            <family val="0"/>
          </rPr>
          <t>Administrator:
经纬度按60进制填写至秒，示例（东经121度32分51秒填写为：1213251，北纬30度13分5秒填写为：301305）。点状项目仅填写37-38项，线状（条带状）项目填写39-42项。短小的线状项目或起止点确切位置难以确定的项目也可按点状项目处理。点状项目仅标注其中心点位置，线状（条带状）项目的起点取自河流的上游方向，终点取自河流的下游方向</t>
        </r>
      </text>
    </comment>
    <comment ref="A5" authorId="1">
      <text>
        <r>
          <rPr>
            <sz val="9"/>
            <rFont val="宋体"/>
            <family val="0"/>
          </rPr>
          <t xml:space="preserve">同一条河流有多个项目的可以只在项目1所在行填写
</t>
        </r>
      </text>
    </comment>
    <comment ref="E5" authorId="1">
      <text>
        <r>
          <rPr>
            <sz val="9"/>
            <rFont val="宋体"/>
            <family val="0"/>
          </rPr>
          <t xml:space="preserve">填全称；格式：××县、××市等
</t>
        </r>
      </text>
    </comment>
    <comment ref="F5" authorId="1">
      <text>
        <r>
          <rPr>
            <sz val="9"/>
            <rFont val="宋体"/>
            <family val="0"/>
          </rPr>
          <t>同一条河流上的不同项目按照项目1、项目2、项目3…顺序选取。</t>
        </r>
      </text>
    </comment>
    <comment ref="G5" authorId="1">
      <text>
        <r>
          <rPr>
            <sz val="9"/>
            <rFont val="宋体"/>
            <family val="0"/>
          </rPr>
          <t xml:space="preserve">填全称；如：××省××县××工程（×期）
</t>
        </r>
      </text>
    </comment>
    <comment ref="K5" authorId="1">
      <text>
        <r>
          <rPr>
            <sz val="9"/>
            <rFont val="宋体"/>
            <family val="0"/>
          </rPr>
          <t xml:space="preserve">与河流录入表中的指标编号18规划名称一致,没有依据的此项不填
</t>
        </r>
      </text>
    </comment>
    <comment ref="M5" authorId="1">
      <text>
        <r>
          <rPr>
            <sz val="9"/>
            <rFont val="宋体"/>
            <family val="0"/>
          </rPr>
          <t xml:space="preserve">填与前期工作阶段相对应的[审批文号]，并填已批复或已审查
</t>
        </r>
      </text>
    </comment>
    <comment ref="N5" authorId="1">
      <text>
        <r>
          <rPr>
            <sz val="9"/>
            <rFont val="宋体"/>
            <family val="0"/>
          </rPr>
          <t xml:space="preserve">按项目分类选择相应指标，没有空格不填
</t>
        </r>
      </text>
    </comment>
    <comment ref="O5" authorId="1">
      <text>
        <r>
          <rPr>
            <sz val="9"/>
            <rFont val="宋体"/>
            <family val="0"/>
          </rPr>
          <t xml:space="preserve">按项目分类选择相应指标，没有空格不填
</t>
        </r>
      </text>
    </comment>
    <comment ref="P5" authorId="1">
      <text>
        <r>
          <rPr>
            <sz val="9"/>
            <rFont val="宋体"/>
            <family val="0"/>
          </rPr>
          <t xml:space="preserve">按项目分类选择相应指标，没有空格不填
</t>
        </r>
      </text>
    </comment>
    <comment ref="Q5" authorId="1">
      <text>
        <r>
          <rPr>
            <sz val="9"/>
            <rFont val="宋体"/>
            <family val="0"/>
          </rPr>
          <t xml:space="preserve">按项目分类选择相应指标，没有空格不填
</t>
        </r>
      </text>
    </comment>
    <comment ref="R5" authorId="1">
      <text>
        <r>
          <rPr>
            <sz val="9"/>
            <rFont val="宋体"/>
            <family val="0"/>
          </rPr>
          <t xml:space="preserve">按项目分类选择相应指标，没有空格不填
</t>
        </r>
      </text>
    </comment>
    <comment ref="S5" authorId="1">
      <text>
        <r>
          <rPr>
            <sz val="9"/>
            <rFont val="宋体"/>
            <family val="0"/>
          </rPr>
          <t xml:space="preserve">按项目分类选择相应指标，没有空格不填
</t>
        </r>
      </text>
    </comment>
    <comment ref="T5" authorId="1">
      <text>
        <r>
          <rPr>
            <sz val="9"/>
            <rFont val="宋体"/>
            <family val="0"/>
          </rPr>
          <t xml:space="preserve">按项目分类选择相应指标，没有空格不填
</t>
        </r>
      </text>
    </comment>
    <comment ref="Y5" authorId="1">
      <text>
        <r>
          <rPr>
            <sz val="9"/>
            <rFont val="宋体"/>
            <family val="0"/>
          </rPr>
          <t xml:space="preserve">城市、县、乡镇名称，国家贫困县及贫困乡镇注明
</t>
        </r>
      </text>
    </comment>
    <comment ref="AE5" authorId="1">
      <text>
        <r>
          <rPr>
            <sz val="9"/>
            <rFont val="宋体"/>
            <family val="0"/>
          </rPr>
          <t xml:space="preserve">只填2006年以来在建和已批，并按审批文件填，其他项目不填
</t>
        </r>
      </text>
    </comment>
    <comment ref="AF5" authorId="1">
      <text>
        <r>
          <rPr>
            <sz val="9"/>
            <rFont val="宋体"/>
            <family val="0"/>
          </rPr>
          <t xml:space="preserve">只填2006年以来在建和已批，并按审批文件填，其他项目不填
</t>
        </r>
      </text>
    </comment>
  </commentList>
</comments>
</file>

<file path=xl/comments5.xml><?xml version="1.0" encoding="utf-8"?>
<comments xmlns="http://schemas.openxmlformats.org/spreadsheetml/2006/main">
  <authors>
    <author>Administrator</author>
  </authors>
  <commentList>
    <comment ref="AF5" authorId="0">
      <text>
        <r>
          <rPr>
            <b/>
            <sz val="9"/>
            <rFont val="宋体"/>
            <family val="0"/>
          </rPr>
          <t>Administrator:</t>
        </r>
        <r>
          <rPr>
            <sz val="9"/>
            <rFont val="宋体"/>
            <family val="0"/>
          </rPr>
          <t xml:space="preserve">
示例：东经121°32′51″填写为：1213251。</t>
        </r>
      </text>
    </comment>
  </commentList>
</comments>
</file>

<file path=xl/sharedStrings.xml><?xml version="1.0" encoding="utf-8"?>
<sst xmlns="http://schemas.openxmlformats.org/spreadsheetml/2006/main" count="5914" uniqueCount="2653">
  <si>
    <t>远期储备</t>
  </si>
  <si>
    <t>团结坝水库</t>
  </si>
  <si>
    <t>远期储备</t>
  </si>
  <si>
    <t>龙川河</t>
  </si>
  <si>
    <t>光明水库</t>
  </si>
  <si>
    <t>大沙河坝水库</t>
  </si>
  <si>
    <t>左家村委会</t>
  </si>
  <si>
    <t>石永闸水库</t>
  </si>
  <si>
    <t>龙川河</t>
  </si>
  <si>
    <t>周山村委会</t>
  </si>
  <si>
    <t>大寨坝水库</t>
  </si>
  <si>
    <t>云龙村委会</t>
  </si>
  <si>
    <t>大树箐水库</t>
  </si>
  <si>
    <t>龙川江支流紫甸河</t>
  </si>
  <si>
    <t>河节冲村委会</t>
  </si>
  <si>
    <t>大新坝水库</t>
  </si>
  <si>
    <t>杜家庄村委会</t>
  </si>
  <si>
    <t>吉丰闸水库</t>
  </si>
  <si>
    <t>江坡新闸水库</t>
  </si>
  <si>
    <t>江坡村委会</t>
  </si>
  <si>
    <t>干冲坝水库</t>
  </si>
  <si>
    <t>下八道河龙王闸</t>
  </si>
  <si>
    <t>丰乐村委会</t>
  </si>
  <si>
    <t>麦地箐水库</t>
  </si>
  <si>
    <t>六渡河</t>
  </si>
  <si>
    <t>安益村委会</t>
  </si>
  <si>
    <t>锁水果水库</t>
  </si>
  <si>
    <t>水桥村委会</t>
  </si>
  <si>
    <t>蟠猫封神箐坝</t>
  </si>
  <si>
    <t>蟠猫村委会</t>
  </si>
  <si>
    <t>子坝</t>
  </si>
  <si>
    <t>柜山村委会</t>
  </si>
  <si>
    <t>高山箐水库</t>
  </si>
  <si>
    <t>老窑坝水库</t>
  </si>
  <si>
    <t>老纳村委会</t>
  </si>
  <si>
    <t>老官坝水库</t>
  </si>
  <si>
    <t>民乐村委会</t>
  </si>
  <si>
    <t>乌龙水库</t>
  </si>
  <si>
    <t>共丰闸</t>
  </si>
  <si>
    <t>牟定县</t>
  </si>
  <si>
    <t>龙川河</t>
  </si>
  <si>
    <t>共丰村委会</t>
  </si>
  <si>
    <t>牟定县水资源综合利用规划</t>
  </si>
  <si>
    <t>2016-2020</t>
  </si>
  <si>
    <t>牟定县“十三五”中小河流治理建设规划表</t>
  </si>
  <si>
    <t>云南省牟定县牟定河北山寺至土主庙段治理工程</t>
  </si>
  <si>
    <t>云南省牟定县冷水河麦冲至周家庄段河道治理工程</t>
  </si>
  <si>
    <t>云南省牟定县猫街河猫街至松毛堆段河道治理工程</t>
  </si>
  <si>
    <t>云南省牟定县力歪河河头王家至李树桥段河道治理工程</t>
  </si>
  <si>
    <t>云南省牟定县祭龙河（艾屯、石嘴子至杨旗屯段）河道治理工程</t>
  </si>
  <si>
    <t>云南省牟定县喜鹊窝河喜鹊窝至沈屯段河道治理工程</t>
  </si>
  <si>
    <t>云南省牟定县博德河习田村至新甸村段河道治理工程</t>
  </si>
  <si>
    <t>土桥河</t>
  </si>
  <si>
    <t>云南省牟定县永丰水库至龙川河段河道治理工程</t>
  </si>
  <si>
    <t>文龙河</t>
  </si>
  <si>
    <t>云南省牟定县中屯水库至杨凹子村段河道治理工程</t>
  </si>
  <si>
    <r>
      <t>取水口断面控制流域面积（km</t>
    </r>
    <r>
      <rPr>
        <vertAlign val="superscript"/>
        <sz val="10"/>
        <rFont val="宋体"/>
        <family val="0"/>
      </rPr>
      <t>2</t>
    </r>
    <r>
      <rPr>
        <sz val="10"/>
        <rFont val="宋体"/>
        <family val="0"/>
      </rPr>
      <t>）</t>
    </r>
  </si>
  <si>
    <r>
      <t>取水口断面多年平均径流量            (万m</t>
    </r>
    <r>
      <rPr>
        <vertAlign val="superscript"/>
        <sz val="10"/>
        <rFont val="宋体"/>
        <family val="0"/>
      </rPr>
      <t>3</t>
    </r>
    <r>
      <rPr>
        <sz val="10"/>
        <rFont val="宋体"/>
        <family val="0"/>
      </rPr>
      <t>)</t>
    </r>
  </si>
  <si>
    <r>
      <t>投资</t>
    </r>
    <r>
      <rPr>
        <sz val="10"/>
        <rFont val="Times New Roman"/>
        <family val="1"/>
      </rPr>
      <t xml:space="preserve">   </t>
    </r>
    <r>
      <rPr>
        <sz val="10"/>
        <rFont val="宋体"/>
        <family val="0"/>
      </rPr>
      <t>（万元）</t>
    </r>
  </si>
  <si>
    <r>
      <t>设计引水流量            (m</t>
    </r>
    <r>
      <rPr>
        <vertAlign val="superscript"/>
        <sz val="10"/>
        <rFont val="宋体"/>
        <family val="0"/>
      </rPr>
      <t>3</t>
    </r>
    <r>
      <rPr>
        <sz val="10"/>
        <rFont val="宋体"/>
        <family val="0"/>
      </rPr>
      <t>/s）</t>
    </r>
  </si>
  <si>
    <r>
      <t>多年平均引水量（万m</t>
    </r>
    <r>
      <rPr>
        <vertAlign val="superscript"/>
        <sz val="10"/>
        <rFont val="宋体"/>
        <family val="0"/>
      </rPr>
      <t>3</t>
    </r>
    <r>
      <rPr>
        <sz val="10"/>
        <rFont val="宋体"/>
        <family val="0"/>
      </rPr>
      <t>）</t>
    </r>
  </si>
  <si>
    <r>
      <t>供水量 （万m</t>
    </r>
    <r>
      <rPr>
        <vertAlign val="superscript"/>
        <sz val="10"/>
        <rFont val="宋体"/>
        <family val="0"/>
      </rPr>
      <t>3</t>
    </r>
    <r>
      <rPr>
        <sz val="10"/>
        <rFont val="宋体"/>
        <family val="0"/>
      </rPr>
      <t>）</t>
    </r>
  </si>
  <si>
    <r>
      <t>年可供水量
（万m</t>
    </r>
    <r>
      <rPr>
        <vertAlign val="superscript"/>
        <sz val="10"/>
        <rFont val="宋体"/>
        <family val="0"/>
      </rPr>
      <t>3</t>
    </r>
    <r>
      <rPr>
        <sz val="10"/>
        <rFont val="宋体"/>
        <family val="0"/>
      </rPr>
      <t>）</t>
    </r>
  </si>
  <si>
    <t>共和重点中型灌区</t>
  </si>
  <si>
    <t>中屯大沟</t>
  </si>
  <si>
    <t>周山大沟</t>
  </si>
  <si>
    <t>天山沟</t>
  </si>
  <si>
    <t>九0沟</t>
  </si>
  <si>
    <t>牟尼沟</t>
  </si>
  <si>
    <t>大跃进沟</t>
  </si>
  <si>
    <t>河梁沟</t>
  </si>
  <si>
    <t>云龙沟</t>
  </si>
  <si>
    <t>马厂大沟</t>
  </si>
  <si>
    <t>散花沟</t>
  </si>
  <si>
    <t>永丰沟</t>
  </si>
  <si>
    <t>管新沟</t>
  </si>
  <si>
    <t>碾房河沟</t>
  </si>
  <si>
    <t>有长大沟</t>
  </si>
  <si>
    <t>团结坝水库灌区</t>
  </si>
  <si>
    <t>江坡镇</t>
  </si>
  <si>
    <t>高家小型灌区</t>
  </si>
  <si>
    <t>烤烟、水稻、玉米</t>
  </si>
  <si>
    <t>小土锅箐灌区</t>
  </si>
  <si>
    <t>和平小型灌区</t>
  </si>
  <si>
    <t>乐利冲武家箐灌区</t>
  </si>
  <si>
    <t>乐利冲小型灌区</t>
  </si>
  <si>
    <t>碑厅灌区</t>
  </si>
  <si>
    <t>蟠猫乡</t>
  </si>
  <si>
    <t>烤烟、水稻、玉米</t>
  </si>
  <si>
    <t>蟠猫灌区</t>
  </si>
  <si>
    <t>朵苴灌区</t>
  </si>
  <si>
    <t>古岩灌区</t>
  </si>
  <si>
    <t>双龙灌区</t>
  </si>
  <si>
    <t>龙泉灌区</t>
  </si>
  <si>
    <t>联丰灌区</t>
  </si>
  <si>
    <t>马厂灌区</t>
  </si>
  <si>
    <t>新桥镇</t>
  </si>
  <si>
    <t>马厂小型灌区</t>
  </si>
  <si>
    <t>蔬菜（三叶瓜等）、烤烟</t>
  </si>
  <si>
    <t>碗厂灌区</t>
  </si>
  <si>
    <t>戌街乡</t>
  </si>
  <si>
    <t>水稻</t>
  </si>
  <si>
    <t>戌街灌区</t>
  </si>
  <si>
    <t>老纳灌区</t>
  </si>
  <si>
    <t>注：小型灌区建设内容与五小水利建设内容可重复填报。</t>
  </si>
  <si>
    <r>
      <t>牟定</t>
    </r>
    <r>
      <rPr>
        <sz val="14"/>
        <rFont val="黑体"/>
        <family val="3"/>
      </rPr>
      <t>县农村饮水提质增效“十三五”规划表(供水规模&gt;20m</t>
    </r>
    <r>
      <rPr>
        <vertAlign val="superscript"/>
        <sz val="14"/>
        <rFont val="黑体"/>
        <family val="3"/>
      </rPr>
      <t>3</t>
    </r>
    <r>
      <rPr>
        <sz val="14"/>
        <rFont val="黑体"/>
        <family val="3"/>
      </rPr>
      <t>/d以上)</t>
    </r>
  </si>
  <si>
    <t>全县合计</t>
  </si>
  <si>
    <r>
      <t>W&gt;1000m</t>
    </r>
    <r>
      <rPr>
        <vertAlign val="superscript"/>
        <sz val="8"/>
        <rFont val="仿宋_GB2312"/>
        <family val="3"/>
      </rPr>
      <t>3</t>
    </r>
    <r>
      <rPr>
        <sz val="8"/>
        <rFont val="仿宋_GB2312"/>
        <family val="3"/>
      </rPr>
      <t>/d工程</t>
    </r>
  </si>
  <si>
    <t>小计</t>
  </si>
  <si>
    <t>新桥供水第二水厂</t>
  </si>
  <si>
    <t>新桥镇</t>
  </si>
  <si>
    <t>改造</t>
  </si>
  <si>
    <t>是</t>
  </si>
  <si>
    <r>
      <t>200&lt;W≦1000m</t>
    </r>
    <r>
      <rPr>
        <vertAlign val="superscript"/>
        <sz val="8"/>
        <rFont val="仿宋_GB2312"/>
        <family val="3"/>
      </rPr>
      <t>3</t>
    </r>
    <r>
      <rPr>
        <sz val="8"/>
        <rFont val="仿宋_GB2312"/>
        <family val="3"/>
      </rPr>
      <t>/d工程</t>
    </r>
  </si>
  <si>
    <t>安乐乡集镇供水工程</t>
  </si>
  <si>
    <t>安乐乡</t>
  </si>
  <si>
    <t>新建</t>
  </si>
  <si>
    <t>否</t>
  </si>
  <si>
    <t>安乐六渡河片区供水工程</t>
  </si>
  <si>
    <t>戌街乡集镇供水</t>
  </si>
  <si>
    <t>戌街乡</t>
  </si>
  <si>
    <t>凤屯镇</t>
  </si>
  <si>
    <r>
      <t>20&lt;W≦200m</t>
    </r>
    <r>
      <rPr>
        <vertAlign val="superscript"/>
        <sz val="8"/>
        <rFont val="仿宋_GB2312"/>
        <family val="3"/>
      </rPr>
      <t>3</t>
    </r>
    <r>
      <rPr>
        <sz val="8"/>
        <rFont val="仿宋_GB2312"/>
        <family val="3"/>
      </rPr>
      <t>/d工程</t>
    </r>
  </si>
  <si>
    <t>共和镇合计</t>
  </si>
  <si>
    <t>代冲一、二组</t>
  </si>
  <si>
    <t>共和镇</t>
  </si>
  <si>
    <t>白塔一组</t>
  </si>
  <si>
    <t>白塔二组</t>
  </si>
  <si>
    <t>吕交城村</t>
  </si>
  <si>
    <t>看灯村</t>
  </si>
  <si>
    <t>李湾</t>
  </si>
  <si>
    <t>三江口村</t>
  </si>
  <si>
    <t>沙沟村</t>
  </si>
  <si>
    <t>光法寺</t>
  </si>
  <si>
    <t>申平村</t>
  </si>
  <si>
    <t>三层楼村</t>
  </si>
  <si>
    <t>周家一组</t>
  </si>
  <si>
    <t>周家二组</t>
  </si>
  <si>
    <t>菜屯村</t>
  </si>
  <si>
    <t>际盛中村</t>
  </si>
  <si>
    <t>际盛下村</t>
  </si>
  <si>
    <t>饮马塘村</t>
  </si>
  <si>
    <t>徐家寺</t>
  </si>
  <si>
    <t>小仓屯</t>
  </si>
  <si>
    <t>山庙村</t>
  </si>
  <si>
    <t>大柳三</t>
  </si>
  <si>
    <t>刘凹子</t>
  </si>
  <si>
    <t>黑泥坝二组</t>
  </si>
  <si>
    <t>李铁屯三组</t>
  </si>
  <si>
    <t>李铁屯四组</t>
  </si>
  <si>
    <t>江坡镇合计</t>
  </si>
  <si>
    <t>高军屯</t>
  </si>
  <si>
    <t>江坡镇</t>
  </si>
  <si>
    <t>民乐村</t>
  </si>
  <si>
    <t>凤头甸</t>
  </si>
  <si>
    <t>石头河</t>
  </si>
  <si>
    <t>李子河</t>
  </si>
  <si>
    <t>下八道</t>
  </si>
  <si>
    <t>夏家山</t>
  </si>
  <si>
    <t>金家庄</t>
  </si>
  <si>
    <t>谭家</t>
  </si>
  <si>
    <t>钟家</t>
  </si>
  <si>
    <t>彭家</t>
  </si>
  <si>
    <t>金窖</t>
  </si>
  <si>
    <t>杜大屯</t>
  </si>
  <si>
    <t>大平地</t>
  </si>
  <si>
    <t>吴家</t>
  </si>
  <si>
    <t>方屯</t>
  </si>
  <si>
    <t>土官庄</t>
  </si>
  <si>
    <t>排坊村</t>
  </si>
  <si>
    <t>中村</t>
  </si>
  <si>
    <t>王家</t>
  </si>
  <si>
    <t>罗家</t>
  </si>
  <si>
    <t>外喜</t>
  </si>
  <si>
    <t>普家村</t>
  </si>
  <si>
    <t>张家村</t>
  </si>
  <si>
    <t>干海子</t>
  </si>
  <si>
    <t>安吉里</t>
  </si>
  <si>
    <t>下米</t>
  </si>
  <si>
    <t>上米</t>
  </si>
  <si>
    <t>菜地</t>
  </si>
  <si>
    <t>花老保</t>
  </si>
  <si>
    <t>白沙河</t>
  </si>
  <si>
    <t>江冲</t>
  </si>
  <si>
    <t>福土龙</t>
  </si>
  <si>
    <t>甘张</t>
  </si>
  <si>
    <t>洗澡塘</t>
  </si>
  <si>
    <t>羊领岗</t>
  </si>
  <si>
    <t>依七冲</t>
  </si>
  <si>
    <t>江坡村</t>
  </si>
  <si>
    <t>迤庄</t>
  </si>
  <si>
    <t>外庄</t>
  </si>
  <si>
    <t>锦依寨</t>
  </si>
  <si>
    <t>杜家庄</t>
  </si>
  <si>
    <t>沙罗镇</t>
  </si>
  <si>
    <t>龙排</t>
  </si>
  <si>
    <t>乐利冲</t>
  </si>
  <si>
    <t>格依乍</t>
  </si>
  <si>
    <t>立威模</t>
  </si>
  <si>
    <t>者鸠</t>
  </si>
  <si>
    <t>上村</t>
  </si>
  <si>
    <t>施家</t>
  </si>
  <si>
    <t>江家</t>
  </si>
  <si>
    <t>何家庄</t>
  </si>
  <si>
    <t>张家</t>
  </si>
  <si>
    <t>高家</t>
  </si>
  <si>
    <t>民乐完小</t>
  </si>
  <si>
    <t>丰乐完小</t>
  </si>
  <si>
    <t>高平完小</t>
  </si>
  <si>
    <t>高平中学</t>
  </si>
  <si>
    <t>江坡小学</t>
  </si>
  <si>
    <t>大城完小</t>
  </si>
  <si>
    <t>新桥镇合计</t>
  </si>
  <si>
    <t>长冲迤西冲村供水</t>
  </si>
  <si>
    <t>上长冲供水</t>
  </si>
  <si>
    <t>下长冲供水</t>
  </si>
  <si>
    <t>杨茨科杨家供水</t>
  </si>
  <si>
    <t>大村供水</t>
  </si>
  <si>
    <t>八双门供水</t>
  </si>
  <si>
    <t>羊肝石供水</t>
  </si>
  <si>
    <t>顶头村供水</t>
  </si>
  <si>
    <t>顶头红土坡供水</t>
  </si>
  <si>
    <t>小蒙恩秧草冲供水</t>
  </si>
  <si>
    <t>小蒙恩上村供水</t>
  </si>
  <si>
    <t>小蒙恩下村供水</t>
  </si>
  <si>
    <t>杜家庄山迤村供水</t>
  </si>
  <si>
    <t>杜家庄长嶺岗供水</t>
  </si>
  <si>
    <t>大蒙恩生嘴资供水</t>
  </si>
  <si>
    <t>大蒙恩李岳嘴供水</t>
  </si>
  <si>
    <t>大蒙恩代嘴资供水</t>
  </si>
  <si>
    <t>马厂杨茨科杨家</t>
  </si>
  <si>
    <t>官河官村</t>
  </si>
  <si>
    <t>官河余家</t>
  </si>
  <si>
    <t>长冲迤西冲</t>
  </si>
  <si>
    <t>长冲上长冲</t>
  </si>
  <si>
    <t>长冲下长冲</t>
  </si>
  <si>
    <t>杜家庄倒水冲</t>
  </si>
  <si>
    <t>大蒙恩李咀资</t>
  </si>
  <si>
    <t>大蒙恩代咀资</t>
  </si>
  <si>
    <t>桃苴八双门</t>
  </si>
  <si>
    <t>顶头太平村</t>
  </si>
  <si>
    <t>顶头中村</t>
  </si>
  <si>
    <t>顶头顶头村</t>
  </si>
  <si>
    <t>大村</t>
  </si>
  <si>
    <t>羊肝石村</t>
  </si>
  <si>
    <t>安乐乡合计</t>
  </si>
  <si>
    <t>戌街乡合计</t>
  </si>
  <si>
    <t>阿迤哨村</t>
  </si>
  <si>
    <t>碗厂村</t>
  </si>
  <si>
    <t>蟠猫乡合计</t>
  </si>
  <si>
    <t>上、下新村</t>
  </si>
  <si>
    <t>王家村</t>
  </si>
  <si>
    <t>小古岩村</t>
  </si>
  <si>
    <t>肖、普、刘、大箐</t>
  </si>
  <si>
    <t>邓家冲、马家、双尾、凹土坡、夏家</t>
  </si>
  <si>
    <t>朵苴村</t>
  </si>
  <si>
    <t>毛草冲</t>
  </si>
  <si>
    <t>果家村</t>
  </si>
  <si>
    <t>母鲁打</t>
  </si>
  <si>
    <t>啊吶哩</t>
  </si>
  <si>
    <t>梨园村</t>
  </si>
  <si>
    <t>八道河</t>
  </si>
  <si>
    <t>蟠苴村</t>
  </si>
  <si>
    <t>河底村</t>
  </si>
  <si>
    <t>凤屯镇合计</t>
  </si>
  <si>
    <t>水箐村</t>
  </si>
  <si>
    <t>松川村</t>
  </si>
  <si>
    <t>赛家村</t>
  </si>
  <si>
    <t>起家村</t>
  </si>
  <si>
    <t>龙潭村</t>
  </si>
  <si>
    <r>
      <t>牟定</t>
    </r>
    <r>
      <rPr>
        <sz val="14"/>
        <rFont val="黑体"/>
        <family val="3"/>
      </rPr>
      <t>县农村饮水提质增效“十三五”规划表(供水规模≤20m</t>
    </r>
    <r>
      <rPr>
        <vertAlign val="superscript"/>
        <sz val="14"/>
        <rFont val="黑体"/>
        <family val="3"/>
      </rPr>
      <t>3</t>
    </r>
    <r>
      <rPr>
        <sz val="14"/>
        <rFont val="黑体"/>
        <family val="3"/>
      </rPr>
      <t>/d以下)</t>
    </r>
  </si>
  <si>
    <r>
      <t>20m</t>
    </r>
    <r>
      <rPr>
        <vertAlign val="superscript"/>
        <sz val="8"/>
        <rFont val="仿宋_GB2312"/>
        <family val="3"/>
      </rPr>
      <t>3</t>
    </r>
    <r>
      <rPr>
        <sz val="8"/>
        <rFont val="仿宋_GB2312"/>
        <family val="3"/>
      </rPr>
      <t>/d以下集中供水工程</t>
    </r>
  </si>
  <si>
    <t>代冲半山</t>
  </si>
  <si>
    <t>梁汪坝村</t>
  </si>
  <si>
    <t>大石桥村</t>
  </si>
  <si>
    <t>李子树</t>
  </si>
  <si>
    <t>罗家</t>
  </si>
  <si>
    <t>竹园</t>
  </si>
  <si>
    <t>张朱</t>
  </si>
  <si>
    <t>王大村</t>
  </si>
  <si>
    <t>刘陈</t>
  </si>
  <si>
    <t>刘周</t>
  </si>
  <si>
    <t>闸埂下</t>
  </si>
  <si>
    <t>陈湾</t>
  </si>
  <si>
    <t>际盛上村</t>
  </si>
  <si>
    <t>李房子</t>
  </si>
  <si>
    <t>燃灯寺村</t>
  </si>
  <si>
    <t>滕丫口</t>
  </si>
  <si>
    <t>周五</t>
  </si>
  <si>
    <t>周六</t>
  </si>
  <si>
    <t>覃毛</t>
  </si>
  <si>
    <t>周七</t>
  </si>
  <si>
    <t>刘湾村</t>
  </si>
  <si>
    <t>金丫口</t>
  </si>
  <si>
    <t>下施</t>
  </si>
  <si>
    <t>田心</t>
  </si>
  <si>
    <t>麻地冲</t>
  </si>
  <si>
    <t>石陈</t>
  </si>
  <si>
    <t>赵旗村</t>
  </si>
  <si>
    <t>黄家</t>
  </si>
  <si>
    <t>大柳一</t>
  </si>
  <si>
    <t>小柳</t>
  </si>
  <si>
    <t>大柳二</t>
  </si>
  <si>
    <t>杨凹子</t>
  </si>
  <si>
    <t>黑泥坝一组</t>
  </si>
  <si>
    <t>龙池五组</t>
  </si>
  <si>
    <t>龙池六组</t>
  </si>
  <si>
    <t>龙池七组</t>
  </si>
  <si>
    <t>龙池八组</t>
  </si>
  <si>
    <t>大秋树九组</t>
  </si>
  <si>
    <t>大秋树十组</t>
  </si>
  <si>
    <t>江坡镇合计</t>
  </si>
  <si>
    <t>山甸尾</t>
  </si>
  <si>
    <t>罗家</t>
  </si>
  <si>
    <t>山背后</t>
  </si>
  <si>
    <t>李家</t>
  </si>
  <si>
    <t>迤邹村</t>
  </si>
  <si>
    <t>大凹子</t>
  </si>
  <si>
    <t>上八道河</t>
  </si>
  <si>
    <t>小凹子</t>
  </si>
  <si>
    <t>上李</t>
  </si>
  <si>
    <t>孟家</t>
  </si>
  <si>
    <t>小高家</t>
  </si>
  <si>
    <t>夏家</t>
  </si>
  <si>
    <t>者家</t>
  </si>
  <si>
    <t>杜家</t>
  </si>
  <si>
    <t>李树桥</t>
  </si>
  <si>
    <t>熊家</t>
  </si>
  <si>
    <t>马鞍山</t>
  </si>
  <si>
    <t>新哨</t>
  </si>
  <si>
    <t>小干坝</t>
  </si>
  <si>
    <t>丁家</t>
  </si>
  <si>
    <t>福龙完小</t>
  </si>
  <si>
    <t>高家</t>
  </si>
  <si>
    <t>普村完小</t>
  </si>
  <si>
    <t>力火冲</t>
  </si>
  <si>
    <t>米村完小</t>
  </si>
  <si>
    <t>迤喜</t>
  </si>
  <si>
    <t>龙排幼儿园</t>
  </si>
  <si>
    <t>中喜</t>
  </si>
  <si>
    <t>乐利冲小学</t>
  </si>
  <si>
    <t>对戈</t>
  </si>
  <si>
    <t>和平完小</t>
  </si>
  <si>
    <t>团山</t>
  </si>
  <si>
    <t>小庄子</t>
  </si>
  <si>
    <t>河外</t>
  </si>
  <si>
    <t>米村张家</t>
  </si>
  <si>
    <t>郭普</t>
  </si>
  <si>
    <t>老白力</t>
  </si>
  <si>
    <t>石洞</t>
  </si>
  <si>
    <t>卓玛</t>
  </si>
  <si>
    <t>小凤家</t>
  </si>
  <si>
    <t>豆麦冲</t>
  </si>
  <si>
    <t>老虎洞</t>
  </si>
  <si>
    <t>希坝冲</t>
  </si>
  <si>
    <t>小卷槽</t>
  </si>
  <si>
    <t>杨家坟</t>
  </si>
  <si>
    <t>麻栗树</t>
  </si>
  <si>
    <t>乐利美</t>
  </si>
  <si>
    <t>柿花园</t>
  </si>
  <si>
    <t>水冲</t>
  </si>
  <si>
    <t>毕架山</t>
  </si>
  <si>
    <t>黑龙潭</t>
  </si>
  <si>
    <t>月亮阱</t>
  </si>
  <si>
    <t>大弯哨</t>
  </si>
  <si>
    <t>丰龙阱</t>
  </si>
  <si>
    <t>花瓶山</t>
  </si>
  <si>
    <t>梨园</t>
  </si>
  <si>
    <t>普家</t>
  </si>
  <si>
    <t>新房子</t>
  </si>
  <si>
    <t>平地河</t>
  </si>
  <si>
    <t>小向阳</t>
  </si>
  <si>
    <t>小王家</t>
  </si>
  <si>
    <t>新桥镇合计</t>
  </si>
  <si>
    <t>20m3/d以下集中供水工程</t>
  </si>
  <si>
    <t>马厂香烟树</t>
  </si>
  <si>
    <t>马厂赵石坝</t>
  </si>
  <si>
    <t>马厂燕子窝</t>
  </si>
  <si>
    <t>马厂杨茨科王家</t>
  </si>
  <si>
    <t>官河栗柴冲</t>
  </si>
  <si>
    <t>官河高冲</t>
  </si>
  <si>
    <t>官河邵家庄</t>
  </si>
  <si>
    <t>长冲李家冲</t>
  </si>
  <si>
    <t>长冲石腊它</t>
  </si>
  <si>
    <t>长冲李子箐</t>
  </si>
  <si>
    <t>杜家庄张元冲</t>
  </si>
  <si>
    <t>杜家庄外长箐</t>
  </si>
  <si>
    <t>大蒙恩大坡山</t>
  </si>
  <si>
    <t>大蒙恩小团地</t>
  </si>
  <si>
    <t>大蒙恩生咀资</t>
  </si>
  <si>
    <t>大蒙恩罗咀资</t>
  </si>
  <si>
    <t>大蒙恩迤长箐</t>
  </si>
  <si>
    <t>小蒙恩秧草冲</t>
  </si>
  <si>
    <t>小蒙恩象瓦坪</t>
  </si>
  <si>
    <t>小蒙恩老岳家</t>
  </si>
  <si>
    <t>桃苴家长苴</t>
  </si>
  <si>
    <t>桃苴闸箐</t>
  </si>
  <si>
    <t>桃苴大白坡</t>
  </si>
  <si>
    <t>顶头箐头</t>
  </si>
  <si>
    <t>顶头杨家</t>
  </si>
  <si>
    <t>顶头新庄房</t>
  </si>
  <si>
    <t>顶头红土坡</t>
  </si>
  <si>
    <t>顶头嘴资头</t>
  </si>
  <si>
    <t>云龙小杨家</t>
  </si>
  <si>
    <t>云龙江家冲</t>
  </si>
  <si>
    <t>大村转马路</t>
  </si>
  <si>
    <t>大村杞家</t>
  </si>
  <si>
    <t>大村龙箐</t>
  </si>
  <si>
    <t>羊肝石迤落井</t>
  </si>
  <si>
    <t>羊肝石大荒地</t>
  </si>
  <si>
    <t>羊肝石起家</t>
  </si>
  <si>
    <t>羊肝石下张冲</t>
  </si>
  <si>
    <t>羊肝石上张冲</t>
  </si>
  <si>
    <t>戌街乡合计</t>
  </si>
  <si>
    <t>地表水</t>
  </si>
  <si>
    <t>橄榄坪村</t>
  </si>
  <si>
    <t>大冲上村</t>
  </si>
  <si>
    <t>大冲下村</t>
  </si>
  <si>
    <t>坝上村</t>
  </si>
  <si>
    <t>铁厂村</t>
  </si>
  <si>
    <t>白铜厂村</t>
  </si>
  <si>
    <t>碗厂新房子村</t>
  </si>
  <si>
    <t>悟鲁地</t>
  </si>
  <si>
    <t>安六口</t>
  </si>
  <si>
    <t>凤屯镇合计</t>
  </si>
  <si>
    <t>飒马场村</t>
  </si>
  <si>
    <t>中集礼村</t>
  </si>
  <si>
    <t>团山村</t>
  </si>
  <si>
    <t>小易村</t>
  </si>
  <si>
    <t>飒马场张家村</t>
  </si>
  <si>
    <t>牟定县“十三五”重点县建设规划表</t>
  </si>
  <si>
    <t>县级行政区</t>
  </si>
  <si>
    <t>乡镇名称</t>
  </si>
  <si>
    <t>村委会名称</t>
  </si>
  <si>
    <t>年度</t>
  </si>
  <si>
    <t>投资（万元）</t>
  </si>
  <si>
    <t>沟渠衬砌</t>
  </si>
  <si>
    <t>安装管道</t>
  </si>
  <si>
    <t>水池窖建设</t>
  </si>
  <si>
    <t>坝塘整治</t>
  </si>
  <si>
    <t>提水泵站</t>
  </si>
  <si>
    <t>高效节水灌溉</t>
  </si>
  <si>
    <t>效益</t>
  </si>
  <si>
    <t>条</t>
  </si>
  <si>
    <t>km</t>
  </si>
  <si>
    <t>个</t>
  </si>
  <si>
    <t>m3</t>
  </si>
  <si>
    <t>座</t>
  </si>
  <si>
    <t>装机（kw）</t>
  </si>
  <si>
    <t>片</t>
  </si>
  <si>
    <t>面积（万亩）</t>
  </si>
  <si>
    <t>新增灌溉面积（万亩）</t>
  </si>
  <si>
    <t>改善灌溉面积（万亩）</t>
  </si>
  <si>
    <t>受益人口（万人）</t>
  </si>
  <si>
    <t>牟定县合计</t>
  </si>
  <si>
    <t>小屯</t>
  </si>
  <si>
    <t>蒙恩</t>
  </si>
  <si>
    <t>桃源</t>
  </si>
  <si>
    <t>石板</t>
  </si>
  <si>
    <t>河心</t>
  </si>
  <si>
    <t>直苴</t>
  </si>
  <si>
    <t>安益</t>
  </si>
  <si>
    <t>六渡</t>
  </si>
  <si>
    <t>羊旧</t>
  </si>
  <si>
    <t>力石</t>
  </si>
  <si>
    <t>新田</t>
  </si>
  <si>
    <t>凤屯镇</t>
  </si>
  <si>
    <t>飒马场</t>
  </si>
  <si>
    <t>龙丰</t>
  </si>
  <si>
    <t>田丰</t>
  </si>
  <si>
    <t>牌坊</t>
  </si>
  <si>
    <t>河节冲</t>
  </si>
  <si>
    <t>凤屯</t>
  </si>
  <si>
    <t>共和镇</t>
  </si>
  <si>
    <t>清河</t>
  </si>
  <si>
    <t>天台</t>
  </si>
  <si>
    <t>柳丰</t>
  </si>
  <si>
    <t>余新</t>
  </si>
  <si>
    <t>何梁</t>
  </si>
  <si>
    <t>余丁</t>
  </si>
  <si>
    <t>军屯</t>
  </si>
  <si>
    <t>庆丰</t>
  </si>
  <si>
    <t>共丰</t>
  </si>
  <si>
    <t>天山</t>
  </si>
  <si>
    <t>金马</t>
  </si>
  <si>
    <t>清波</t>
  </si>
  <si>
    <t>平屯</t>
  </si>
  <si>
    <t>牟尼</t>
  </si>
  <si>
    <t>兴和</t>
  </si>
  <si>
    <t>新甸</t>
  </si>
  <si>
    <t>代冲</t>
  </si>
  <si>
    <t>散花</t>
  </si>
  <si>
    <t>周山</t>
  </si>
  <si>
    <t>华星</t>
  </si>
  <si>
    <t>际盛</t>
  </si>
  <si>
    <t>龙池</t>
  </si>
  <si>
    <t>茅阳</t>
  </si>
  <si>
    <t>中屯</t>
  </si>
  <si>
    <t>牟定县</t>
  </si>
  <si>
    <t>江坡镇</t>
  </si>
  <si>
    <t>高家</t>
  </si>
  <si>
    <t>和平</t>
  </si>
  <si>
    <t>者普</t>
  </si>
  <si>
    <t>江坡</t>
  </si>
  <si>
    <t>龙排</t>
  </si>
  <si>
    <t>乐利冲</t>
  </si>
  <si>
    <t>柜山</t>
  </si>
  <si>
    <t>高平</t>
  </si>
  <si>
    <t>民乐</t>
  </si>
  <si>
    <t>福龙</t>
  </si>
  <si>
    <t>丰乐</t>
  </si>
  <si>
    <t>普村</t>
  </si>
  <si>
    <t>米村</t>
  </si>
  <si>
    <t>蟠猫乡</t>
  </si>
  <si>
    <t>碑厅</t>
  </si>
  <si>
    <t>蟠猫</t>
  </si>
  <si>
    <t>朵苴</t>
  </si>
  <si>
    <t>古岩</t>
  </si>
  <si>
    <t>双龙</t>
  </si>
  <si>
    <t>龙泉</t>
  </si>
  <si>
    <t>联丰</t>
  </si>
  <si>
    <t>新桥镇</t>
  </si>
  <si>
    <t>新桥</t>
  </si>
  <si>
    <t>2016-2020</t>
  </si>
  <si>
    <t>马厂</t>
  </si>
  <si>
    <t>官河</t>
  </si>
  <si>
    <t>有家</t>
  </si>
  <si>
    <t>长冲</t>
  </si>
  <si>
    <t>冷水</t>
  </si>
  <si>
    <t>云龙</t>
  </si>
  <si>
    <t>2016-2020</t>
  </si>
  <si>
    <t>兴隆</t>
  </si>
  <si>
    <t>大村</t>
  </si>
  <si>
    <t>羊肝石</t>
  </si>
  <si>
    <t>桃苴</t>
  </si>
  <si>
    <t>顶头</t>
  </si>
  <si>
    <t>杜家庄</t>
  </si>
  <si>
    <t>大蒙恩</t>
  </si>
  <si>
    <t>小蒙恩</t>
  </si>
  <si>
    <t>戌街乡</t>
  </si>
  <si>
    <t>伏龙基</t>
  </si>
  <si>
    <t>老纳</t>
  </si>
  <si>
    <t>戌街</t>
  </si>
  <si>
    <t>碗厂</t>
  </si>
  <si>
    <t>铁厂</t>
  </si>
  <si>
    <r>
      <t>2016-2020</t>
    </r>
  </si>
  <si>
    <t>白沙</t>
  </si>
  <si>
    <t>左家</t>
  </si>
  <si>
    <t>水桥</t>
  </si>
  <si>
    <t>注：重点县建设内容与五小水利建设内容可重复，重点县建设内容可从五小水利当中抽取。</t>
  </si>
  <si>
    <r>
      <rPr>
        <sz val="10"/>
        <rFont val="宋体"/>
        <family val="0"/>
      </rPr>
      <t>片区名称</t>
    </r>
  </si>
  <si>
    <r>
      <rPr>
        <sz val="10"/>
        <rFont val="宋体"/>
        <family val="0"/>
      </rPr>
      <t>主要效益</t>
    </r>
  </si>
  <si>
    <t>水桥片区</t>
  </si>
  <si>
    <t>老纳片区</t>
  </si>
  <si>
    <t>共和片区（坝区）</t>
  </si>
  <si>
    <t>冷水片区（冷水村委会）</t>
  </si>
  <si>
    <t>直苴片区</t>
  </si>
  <si>
    <t>马厂片区</t>
  </si>
  <si>
    <t>新桥片区</t>
  </si>
  <si>
    <t>戌街片区（西七姑大平掌）</t>
  </si>
  <si>
    <r>
      <t>水源类型</t>
    </r>
    <r>
      <rPr>
        <vertAlign val="superscript"/>
        <sz val="9"/>
        <rFont val="宋体"/>
        <family val="0"/>
      </rPr>
      <t>1</t>
    </r>
  </si>
  <si>
    <r>
      <t>工程类型</t>
    </r>
    <r>
      <rPr>
        <vertAlign val="superscript"/>
        <sz val="9"/>
        <rFont val="宋体"/>
        <family val="0"/>
      </rPr>
      <t>2</t>
    </r>
  </si>
  <si>
    <r>
      <t>工程分类</t>
    </r>
    <r>
      <rPr>
        <vertAlign val="superscript"/>
        <sz val="9"/>
        <rFont val="宋体"/>
        <family val="0"/>
      </rPr>
      <t>3</t>
    </r>
  </si>
  <si>
    <r>
      <t>新建水源地性质</t>
    </r>
    <r>
      <rPr>
        <vertAlign val="superscript"/>
        <sz val="9"/>
        <rFont val="宋体"/>
        <family val="0"/>
      </rPr>
      <t>4</t>
    </r>
  </si>
  <si>
    <r>
      <t>水库规模</t>
    </r>
    <r>
      <rPr>
        <vertAlign val="superscript"/>
        <sz val="9"/>
        <rFont val="宋体"/>
        <family val="0"/>
      </rPr>
      <t>5</t>
    </r>
  </si>
  <si>
    <r>
      <t>设计总库容(万m</t>
    </r>
    <r>
      <rPr>
        <vertAlign val="superscript"/>
        <sz val="9"/>
        <rFont val="宋体"/>
        <family val="0"/>
      </rPr>
      <t>3</t>
    </r>
    <r>
      <rPr>
        <sz val="9"/>
        <rFont val="宋体"/>
        <family val="0"/>
      </rPr>
      <t>)</t>
    </r>
  </si>
  <si>
    <r>
      <t>设计供水量 (m</t>
    </r>
    <r>
      <rPr>
        <vertAlign val="superscript"/>
        <sz val="9"/>
        <rFont val="宋体"/>
        <family val="0"/>
      </rPr>
      <t>3</t>
    </r>
    <r>
      <rPr>
        <sz val="9"/>
        <rFont val="宋体"/>
        <family val="0"/>
      </rPr>
      <t>/s)</t>
    </r>
  </si>
  <si>
    <t>25.3</t>
  </si>
  <si>
    <t>白沙、左家村委会</t>
  </si>
  <si>
    <t>观音塘河提水工程</t>
  </si>
  <si>
    <t>泵站提水</t>
  </si>
  <si>
    <t>河水</t>
  </si>
  <si>
    <r>
      <t>2</t>
    </r>
    <r>
      <rPr>
        <sz val="10"/>
        <color indexed="8"/>
        <rFont val="宋体"/>
        <family val="0"/>
      </rPr>
      <t>016-2020</t>
    </r>
  </si>
  <si>
    <t>雨量观测站及可视信息传输系统建设</t>
  </si>
  <si>
    <r>
      <t>全县范围内新建自动雨量站28个，可视信息系统传输16个</t>
    </r>
    <r>
      <rPr>
        <sz val="10"/>
        <color indexed="8"/>
        <rFont val="宋体"/>
        <family val="0"/>
      </rPr>
      <t>。</t>
    </r>
  </si>
  <si>
    <r>
      <t>全县建设5万亩以下小型灌区</t>
    </r>
    <r>
      <rPr>
        <sz val="10"/>
        <color indexed="8"/>
        <rFont val="宋体"/>
        <family val="0"/>
      </rPr>
      <t>26</t>
    </r>
    <r>
      <rPr>
        <sz val="10"/>
        <color indexed="8"/>
        <rFont val="宋体"/>
        <family val="0"/>
      </rPr>
      <t>个。</t>
    </r>
  </si>
  <si>
    <t>开展农村饮水提质增效工程356处，其中：新建工程139处，改造工程217处。工程覆盖供水人口15.375万人。</t>
  </si>
  <si>
    <t>计划建设沟渠防渗915条859.45km，安装管道133条205.6km，小池（窖）3717个容积77460m3,坝塘整治805座，提水泵站80座装机2435.5KW,高效节水13片1.49万亩。</t>
  </si>
  <si>
    <t>龙虎水库</t>
  </si>
  <si>
    <t>除险加固</t>
  </si>
  <si>
    <t>龙虎水库至小九龙水库输水工程</t>
  </si>
  <si>
    <t>龙虎水库底涵</t>
  </si>
  <si>
    <t>共和镇、江坡镇辖区</t>
  </si>
  <si>
    <t>中屯水库至大跃进水库管道输水工程</t>
  </si>
  <si>
    <t>中屯水库输水隧洞</t>
  </si>
  <si>
    <t>牟定县第二自来水厂至新桥供水站连通抗旱应急工程</t>
  </si>
  <si>
    <t>新桥镇辖区</t>
  </si>
  <si>
    <t>新桥镇辖区</t>
  </si>
  <si>
    <t>龙虎水库至兴隆水库输水工程</t>
  </si>
  <si>
    <t>县城第二水厂主管道</t>
  </si>
  <si>
    <t>安乐乡与戌街乡交界处</t>
  </si>
  <si>
    <t>龙虎水库-庆丰水库-东清水库输水管道上取水</t>
  </si>
  <si>
    <t>东清水库至双龙闸水库输水工程</t>
  </si>
  <si>
    <t>庆丰至东清水库主管道上取水</t>
  </si>
  <si>
    <t>龙虎水库至顶峰水库输水工程</t>
  </si>
  <si>
    <t>三条线：蟠猫乡双河闸、江坡镇江坡村委会、戌街乡老纳水库</t>
  </si>
  <si>
    <t>龙川河流域</t>
  </si>
  <si>
    <t>猛岗河流域</t>
  </si>
  <si>
    <t>猫街河流域</t>
  </si>
  <si>
    <t>六渡河流域</t>
  </si>
  <si>
    <t>重点流域水污染防治“十三五”时期建设项目表</t>
  </si>
  <si>
    <t>序号</t>
  </si>
  <si>
    <t>项目名称</t>
  </si>
  <si>
    <t>总投资（亿元）</t>
  </si>
  <si>
    <t>建设规模和内容</t>
  </si>
  <si>
    <t>年削减污染物</t>
  </si>
  <si>
    <t>所属一级支流</t>
  </si>
  <si>
    <t>建设地点</t>
  </si>
  <si>
    <t>是否为续建项目</t>
  </si>
  <si>
    <t>2016年是否实施</t>
  </si>
  <si>
    <t>控制断面水质状况</t>
  </si>
  <si>
    <t>项目建设的必要性</t>
  </si>
  <si>
    <t>化学需氧</t>
  </si>
  <si>
    <t>氨氮</t>
  </si>
  <si>
    <t>地市</t>
  </si>
  <si>
    <t>县区</t>
  </si>
  <si>
    <t>新桥镇污水处理设施建设</t>
  </si>
  <si>
    <t>长江中下游</t>
  </si>
  <si>
    <t>楚雄州</t>
  </si>
  <si>
    <t>牟定县</t>
  </si>
  <si>
    <t>否</t>
  </si>
  <si>
    <t>保护生态，提升农村
人居环境</t>
  </si>
  <si>
    <t>江坡镇污水处理设施建设</t>
  </si>
  <si>
    <t>凤屯镇污水处理设施建设</t>
  </si>
  <si>
    <t>安乐乡污水处理设施建设</t>
  </si>
  <si>
    <t>戌街乡污水处理设施建设</t>
  </si>
  <si>
    <t>是</t>
  </si>
  <si>
    <t>蟠猫乡污水处理设施建设</t>
  </si>
  <si>
    <t>保护生态，提升县城、农村人居环境，该项目为县城污水处理厂配套管网完善工程。</t>
  </si>
  <si>
    <t>果喝苴水库</t>
  </si>
  <si>
    <t>伏龙基村委会新村</t>
  </si>
  <si>
    <t>2016-2020</t>
  </si>
  <si>
    <t>牟定县水资源综合利用规划</t>
  </si>
  <si>
    <t>伍家窑、杨旗屯等</t>
  </si>
  <si>
    <t>牟定县县城污水处理厂管网完善工程</t>
  </si>
  <si>
    <t>合计</t>
  </si>
  <si>
    <t>铺设25公里污水管网。</t>
  </si>
  <si>
    <t>二十</t>
  </si>
  <si>
    <t>全县7乡镇</t>
  </si>
  <si>
    <t>新建</t>
  </si>
  <si>
    <t>州（市）</t>
  </si>
  <si>
    <t>太极、猫街村委会</t>
  </si>
  <si>
    <t>猫街至石板段</t>
  </si>
  <si>
    <t>乡政府背后至太极大桥段</t>
  </si>
  <si>
    <t>猫街、石板村委会</t>
  </si>
  <si>
    <t>座</t>
  </si>
  <si>
    <t>序号</t>
  </si>
  <si>
    <t>项目名称</t>
  </si>
  <si>
    <t>项目分类</t>
  </si>
  <si>
    <t>总投资</t>
  </si>
  <si>
    <t>楚雄彝族自治州</t>
  </si>
  <si>
    <t>牟定</t>
  </si>
  <si>
    <t>乡镇防洪</t>
  </si>
  <si>
    <t>项目建设地点</t>
  </si>
  <si>
    <t>前期工作</t>
  </si>
  <si>
    <t>主要建设内容</t>
  </si>
  <si>
    <t>设计标准</t>
  </si>
  <si>
    <t>现状标准</t>
  </si>
  <si>
    <t>治理效果</t>
  </si>
  <si>
    <t>工期和投资</t>
  </si>
  <si>
    <t>分年项目投资安排</t>
  </si>
  <si>
    <t>项目所在位置</t>
  </si>
  <si>
    <t>移民及占地投资</t>
  </si>
  <si>
    <t>所在河流</t>
  </si>
  <si>
    <t>所属水系</t>
  </si>
  <si>
    <t>主管流域机构</t>
  </si>
  <si>
    <t>项目所在州市</t>
  </si>
  <si>
    <t>项目所在县级行政区</t>
  </si>
  <si>
    <t>项目序号</t>
  </si>
  <si>
    <t>项目所在河段</t>
  </si>
  <si>
    <t>建设性质</t>
  </si>
  <si>
    <t>规划名称</t>
  </si>
  <si>
    <t>项目前期工作</t>
  </si>
  <si>
    <t>项目审批</t>
  </si>
  <si>
    <t>河道整治、护滩、清淤长度</t>
  </si>
  <si>
    <t>清障、清淤方量</t>
  </si>
  <si>
    <t>洪涝结合河道清淤疏浚</t>
  </si>
  <si>
    <t>堤防、护岸加固</t>
  </si>
  <si>
    <t>新建穿堤建筑物</t>
  </si>
  <si>
    <t>新建堤防、护岸</t>
  </si>
  <si>
    <t>其他</t>
  </si>
  <si>
    <t>防洪标准</t>
  </si>
  <si>
    <t>除涝标准</t>
  </si>
  <si>
    <t>项目保护城镇</t>
  </si>
  <si>
    <t>项目保护人口</t>
  </si>
  <si>
    <t>项目保护农田</t>
  </si>
  <si>
    <t>排涝受益面积</t>
  </si>
  <si>
    <t>建设工期</t>
  </si>
  <si>
    <t>已安排中央投资</t>
  </si>
  <si>
    <t>已安排地方投资</t>
  </si>
  <si>
    <t>第一年</t>
  </si>
  <si>
    <t>第二年</t>
  </si>
  <si>
    <t>第三年</t>
  </si>
  <si>
    <t>备注</t>
  </si>
  <si>
    <t>点状项目位置</t>
  </si>
  <si>
    <t>线状（条带状）项目起点位置</t>
  </si>
  <si>
    <t>线状（条带状）项目终点位置</t>
  </si>
  <si>
    <t>搬迁人口</t>
  </si>
  <si>
    <t>水田</t>
  </si>
  <si>
    <t>旱地</t>
  </si>
  <si>
    <t>园地</t>
  </si>
  <si>
    <t>其它</t>
  </si>
  <si>
    <t>投资</t>
  </si>
  <si>
    <t>km</t>
  </si>
  <si>
    <t>万m3</t>
  </si>
  <si>
    <t>处</t>
  </si>
  <si>
    <t>万人</t>
  </si>
  <si>
    <t>万亩</t>
  </si>
  <si>
    <t>(年)</t>
  </si>
  <si>
    <t>(万元)</t>
  </si>
  <si>
    <t>东经（度分秒）</t>
  </si>
  <si>
    <t>北纬（度分秒）</t>
  </si>
  <si>
    <t>（人）</t>
  </si>
  <si>
    <t>（亩）</t>
  </si>
  <si>
    <t>（万元）</t>
  </si>
  <si>
    <t>牟定河</t>
  </si>
  <si>
    <t>长江</t>
  </si>
  <si>
    <t>长委</t>
  </si>
  <si>
    <t>牟定县</t>
  </si>
  <si>
    <t>项目1</t>
  </si>
  <si>
    <t>云南省牟定县牟定河燃灯寺至江坡段治理工程</t>
  </si>
  <si>
    <t>乡村河段</t>
  </si>
  <si>
    <t>农田防护</t>
  </si>
  <si>
    <t>拟建</t>
  </si>
  <si>
    <t>云南省牟定县中小河流治理规划</t>
  </si>
  <si>
    <t>规划</t>
  </si>
  <si>
    <t>5年一遇</t>
  </si>
  <si>
    <t>项目2</t>
  </si>
  <si>
    <t>未批</t>
  </si>
  <si>
    <t>共和镇</t>
  </si>
  <si>
    <t>冷水河</t>
  </si>
  <si>
    <t>10年一遇</t>
  </si>
  <si>
    <t>猫街河</t>
  </si>
  <si>
    <t>石者河</t>
  </si>
  <si>
    <t>云南省牟定县石者河培龙村至河底段河道治理工程</t>
  </si>
  <si>
    <t>力歪河</t>
  </si>
  <si>
    <t>祭龙河</t>
  </si>
  <si>
    <t>喜鹊窝河</t>
  </si>
  <si>
    <t>博德河</t>
  </si>
  <si>
    <t>所属流域</t>
  </si>
  <si>
    <t>水库名称</t>
  </si>
  <si>
    <t>州市</t>
  </si>
  <si>
    <t>规模</t>
  </si>
  <si>
    <t>建设地点</t>
  </si>
  <si>
    <t>建设性质</t>
  </si>
  <si>
    <t>农村供水人口   （万人）</t>
  </si>
  <si>
    <t>城镇供水人口  （万人）</t>
  </si>
  <si>
    <t>发展
灌溉面积
（万亩）</t>
  </si>
  <si>
    <t>改善
灌溉面积
（万亩）</t>
  </si>
  <si>
    <t>投资(万元)</t>
  </si>
  <si>
    <t>测算
总投资</t>
  </si>
  <si>
    <t>楚雄州</t>
  </si>
  <si>
    <t>定远河水库</t>
  </si>
  <si>
    <t>小土锅箐水库</t>
  </si>
  <si>
    <t>小一型</t>
  </si>
  <si>
    <t>大型</t>
  </si>
  <si>
    <t>中型</t>
  </si>
  <si>
    <t>高泉闸水库</t>
  </si>
  <si>
    <t>拟建</t>
  </si>
  <si>
    <t>大力歪水库</t>
  </si>
  <si>
    <t>象鼻箐水库</t>
  </si>
  <si>
    <t>双河水库</t>
  </si>
  <si>
    <t>小黑箐水库</t>
  </si>
  <si>
    <t>双叉箐水库</t>
  </si>
  <si>
    <t>庆丰团结水库</t>
  </si>
  <si>
    <t>秧田箐水库</t>
  </si>
  <si>
    <t>小石门水库</t>
  </si>
  <si>
    <t>建设地点</t>
  </si>
  <si>
    <t>坝高(m)</t>
  </si>
  <si>
    <t>人口（万人）</t>
  </si>
  <si>
    <t>牲畜（万头）</t>
  </si>
  <si>
    <t>新增（万亩）</t>
  </si>
  <si>
    <t>改善（万亩）</t>
  </si>
  <si>
    <t>耕地（万亩）</t>
  </si>
  <si>
    <t>2016-2020</t>
  </si>
  <si>
    <t>长江</t>
  </si>
  <si>
    <t>龙川河</t>
  </si>
  <si>
    <t>共和镇柳丰村</t>
  </si>
  <si>
    <t>龙川河</t>
  </si>
  <si>
    <t>猛岗河</t>
  </si>
  <si>
    <t>勐岗河</t>
  </si>
  <si>
    <t>观音塘河</t>
  </si>
  <si>
    <t>牟定县</t>
  </si>
  <si>
    <t>可研</t>
  </si>
  <si>
    <t>在编</t>
  </si>
  <si>
    <t>土坝</t>
  </si>
  <si>
    <t>楚雄州</t>
  </si>
  <si>
    <t>太极村委会</t>
  </si>
  <si>
    <t>王龙箐水库</t>
  </si>
  <si>
    <t>牌坊村委会</t>
  </si>
  <si>
    <t>陡石岩坝</t>
  </si>
  <si>
    <t>清河村委会</t>
  </si>
  <si>
    <t>云龙闸</t>
  </si>
  <si>
    <t>福龙村委会</t>
  </si>
  <si>
    <t>朵苴村委会</t>
  </si>
  <si>
    <t>石板村委会</t>
  </si>
  <si>
    <t>向阳坝水库</t>
  </si>
  <si>
    <t>龙丰村委会</t>
  </si>
  <si>
    <t>张阱水库</t>
  </si>
  <si>
    <t>猫街村委会</t>
  </si>
  <si>
    <t>长丰闸</t>
  </si>
  <si>
    <t>桃苴村委会</t>
  </si>
  <si>
    <t>散花村委会</t>
  </si>
  <si>
    <t>七丰闸</t>
  </si>
  <si>
    <t>代冲杨家坝</t>
  </si>
  <si>
    <t>代冲村委会</t>
  </si>
  <si>
    <t>牟定县“十三五”水源工程—中、小㈠型水库建设规划表</t>
  </si>
  <si>
    <t>序号</t>
  </si>
  <si>
    <t>工程名称</t>
  </si>
  <si>
    <t>所在县级行政区</t>
  </si>
  <si>
    <t>东经</t>
  </si>
  <si>
    <t>北纬</t>
  </si>
  <si>
    <t>2016-2020</t>
  </si>
  <si>
    <t>牟定县“十三五”连通工程建设规划表</t>
  </si>
  <si>
    <t>龙丰水库至豆树水库输水工程</t>
  </si>
  <si>
    <t>龙丰水库至老纳水库输水工程</t>
  </si>
  <si>
    <t>龙虎水库至庆丰水库输水工程</t>
  </si>
  <si>
    <t>大跃进水库至庆丰水库管道扩建工程</t>
  </si>
  <si>
    <t>民乐博德河至共和闸水库提水工程</t>
  </si>
  <si>
    <t>庆丰水库至共和闸水库管道输水工程</t>
  </si>
  <si>
    <t>中峰水库至新民水库提水工程</t>
  </si>
  <si>
    <t>龙虎水库底涵</t>
  </si>
  <si>
    <t>大跃进水库底涵</t>
  </si>
  <si>
    <t>博德河民乐村</t>
  </si>
  <si>
    <t>龙虎至庆丰水库输水管道取水</t>
  </si>
  <si>
    <t>中峰水库底涵</t>
  </si>
  <si>
    <t>龙丰水库底涵</t>
  </si>
  <si>
    <t>普登河（猛岗河支流铁厂河）</t>
  </si>
  <si>
    <t xml:space="preserve"> 六度河</t>
  </si>
  <si>
    <t>博德河</t>
  </si>
  <si>
    <t>云南省五大基础网络重大建设项目</t>
  </si>
  <si>
    <t>水库名称</t>
  </si>
  <si>
    <t>水库规模</t>
  </si>
  <si>
    <t>清淤工程</t>
  </si>
  <si>
    <t>水保工程</t>
  </si>
  <si>
    <t>库区土地开垦工程</t>
  </si>
  <si>
    <t>清淤增效工程投资</t>
  </si>
  <si>
    <t>清淤增效工程效益</t>
  </si>
  <si>
    <t>淤泥开挖方量
(万m3)</t>
  </si>
  <si>
    <t>运距（km）</t>
  </si>
  <si>
    <t>挡墙浆砌石或砼方量（m3）</t>
  </si>
  <si>
    <t>植物措施种树（棵）</t>
  </si>
  <si>
    <t>库区河道治理及农田排水沟浆砌石或砼方量（m3）</t>
  </si>
  <si>
    <t>淤泥开挖及回填方量
(万m3)</t>
  </si>
  <si>
    <t>清淤工程投资
（万元）</t>
  </si>
  <si>
    <t>水保工程投资
（万元）</t>
  </si>
  <si>
    <t>土地开垦工程投资（万元）</t>
  </si>
  <si>
    <t>总投资
（万元）</t>
  </si>
  <si>
    <t>恢复水库库容
（万m3）</t>
  </si>
  <si>
    <t>恢复供水量
（万m3）</t>
  </si>
  <si>
    <t>恢复和改善灌溉面积
（万亩）</t>
  </si>
  <si>
    <t>库区可新开垦土地面积（亩）</t>
  </si>
  <si>
    <t>淤积物资源化利用估算收入
（万元）</t>
  </si>
  <si>
    <t>始建时间（年）</t>
  </si>
  <si>
    <t>除险加固时间（年）</t>
  </si>
  <si>
    <t>现状坝高（m)</t>
  </si>
  <si>
    <t>设计总库容（万m3)</t>
  </si>
  <si>
    <t>设计正常库容（万m3)</t>
  </si>
  <si>
    <t>设计死库容（万m3)</t>
  </si>
  <si>
    <t>设计兴利库容（万m3)</t>
  </si>
  <si>
    <t>设计供水量
（万m3)</t>
  </si>
  <si>
    <t>现状正常库容（万m3)</t>
  </si>
  <si>
    <t>牟定县“十三五”水库清淤规划表</t>
  </si>
  <si>
    <t>所在位置</t>
  </si>
  <si>
    <r>
      <t>总库容
（万m</t>
    </r>
    <r>
      <rPr>
        <vertAlign val="superscript"/>
        <sz val="10"/>
        <rFont val="宋体"/>
        <family val="0"/>
      </rPr>
      <t>3</t>
    </r>
    <r>
      <rPr>
        <sz val="10"/>
        <rFont val="宋体"/>
        <family val="0"/>
      </rPr>
      <t>）</t>
    </r>
  </si>
  <si>
    <r>
      <t>兴利库容
（万m</t>
    </r>
    <r>
      <rPr>
        <vertAlign val="superscript"/>
        <sz val="10"/>
        <rFont val="宋体"/>
        <family val="0"/>
      </rPr>
      <t>3</t>
    </r>
    <r>
      <rPr>
        <sz val="10"/>
        <rFont val="宋体"/>
        <family val="0"/>
      </rPr>
      <t>）</t>
    </r>
  </si>
  <si>
    <r>
      <t>年供水量
(万m</t>
    </r>
    <r>
      <rPr>
        <vertAlign val="superscript"/>
        <sz val="10"/>
        <rFont val="宋体"/>
        <family val="0"/>
      </rPr>
      <t>3</t>
    </r>
    <r>
      <rPr>
        <sz val="10"/>
        <rFont val="宋体"/>
        <family val="0"/>
      </rPr>
      <t>)</t>
    </r>
  </si>
  <si>
    <r>
      <rPr>
        <sz val="11"/>
        <rFont val="宋体"/>
        <family val="0"/>
      </rPr>
      <t>序号</t>
    </r>
  </si>
  <si>
    <t>项目建设地点</t>
  </si>
  <si>
    <t>建设性质</t>
  </si>
  <si>
    <t>规划依据</t>
  </si>
  <si>
    <t>前期工作</t>
  </si>
  <si>
    <t>供水范围及对象</t>
  </si>
  <si>
    <t>工程规模</t>
  </si>
  <si>
    <t>工程效益</t>
  </si>
  <si>
    <t>规划建设起止年限</t>
  </si>
  <si>
    <t>项目位置坐标（度分秒）</t>
  </si>
  <si>
    <t>备注</t>
  </si>
  <si>
    <t>所在地级行政区</t>
  </si>
  <si>
    <t>取水口位置或水源</t>
  </si>
  <si>
    <t>所在河流</t>
  </si>
  <si>
    <t>所在流域</t>
  </si>
  <si>
    <t>工作阶段</t>
  </si>
  <si>
    <t>进展情况</t>
  </si>
  <si>
    <t>提水扬程            (m）</t>
  </si>
  <si>
    <t>泵站装机            (kW）</t>
  </si>
  <si>
    <t>输水线路长度           (km）</t>
  </si>
  <si>
    <t>供水人口（万人）</t>
  </si>
  <si>
    <t>灌溉面积</t>
  </si>
  <si>
    <t>起点</t>
  </si>
  <si>
    <t>终点</t>
  </si>
  <si>
    <t>城镇生活</t>
  </si>
  <si>
    <t>农村生活</t>
  </si>
  <si>
    <t>工业</t>
  </si>
  <si>
    <t>农业灌溉</t>
  </si>
  <si>
    <t>其它</t>
  </si>
  <si>
    <t>供水合计</t>
  </si>
  <si>
    <t>城镇人口</t>
  </si>
  <si>
    <t>农村人口</t>
  </si>
  <si>
    <t>新增  （万亩）</t>
  </si>
  <si>
    <t>改善  （万亩）</t>
  </si>
  <si>
    <t>北纬</t>
  </si>
  <si>
    <t>金沙江</t>
  </si>
  <si>
    <t>新建</t>
  </si>
  <si>
    <t>规划</t>
  </si>
  <si>
    <t>共和镇辖区</t>
  </si>
  <si>
    <t>江坡镇辖区</t>
  </si>
  <si>
    <t>安乐乡辖区</t>
  </si>
  <si>
    <t>戌街乡辖区</t>
  </si>
  <si>
    <r>
      <t>注：</t>
    </r>
    <r>
      <rPr>
        <sz val="10"/>
        <color indexed="8"/>
        <rFont val="宋体"/>
        <family val="0"/>
      </rPr>
      <t>1、</t>
    </r>
    <r>
      <rPr>
        <sz val="10"/>
        <rFont val="宋体"/>
        <family val="0"/>
      </rPr>
      <t>列入近期规划的项目应为库区新开发耕地面积较大、且土地利用效率较高、交通条件较好的水库，新开垦面积须进行现场复核。</t>
    </r>
  </si>
  <si>
    <r>
      <t xml:space="preserve"> </t>
    </r>
    <r>
      <rPr>
        <sz val="10"/>
        <color indexed="8"/>
        <rFont val="宋体"/>
        <family val="0"/>
      </rPr>
      <t xml:space="preserve">   </t>
    </r>
    <r>
      <rPr>
        <sz val="10"/>
        <rFont val="宋体"/>
        <family val="0"/>
      </rPr>
      <t>2、库区可新开垦土地面积范围为下限可低于正常蓄水位</t>
    </r>
    <r>
      <rPr>
        <sz val="10"/>
        <color indexed="8"/>
        <rFont val="宋体"/>
        <family val="0"/>
      </rPr>
      <t>2</t>
    </r>
    <r>
      <rPr>
        <sz val="10"/>
        <rFont val="宋体"/>
        <family val="0"/>
      </rPr>
      <t>～</t>
    </r>
    <r>
      <rPr>
        <sz val="10"/>
        <color indexed="8"/>
        <rFont val="宋体"/>
        <family val="0"/>
      </rPr>
      <t>3m</t>
    </r>
    <r>
      <rPr>
        <sz val="10"/>
        <rFont val="宋体"/>
        <family val="0"/>
      </rPr>
      <t>，上限可为库区水库管理范围，采用工程措施将新开垦耕地抬高至</t>
    </r>
    <r>
      <rPr>
        <sz val="10"/>
        <color indexed="8"/>
        <rFont val="宋体"/>
        <family val="0"/>
      </rPr>
      <t>5</t>
    </r>
    <r>
      <rPr>
        <sz val="10"/>
        <rFont val="宋体"/>
        <family val="0"/>
      </rPr>
      <t>年一遇淹没水位以上。</t>
    </r>
  </si>
  <si>
    <r>
      <t xml:space="preserve"> </t>
    </r>
    <r>
      <rPr>
        <sz val="10"/>
        <color indexed="8"/>
        <rFont val="宋体"/>
        <family val="0"/>
      </rPr>
      <t xml:space="preserve">   3、</t>
    </r>
    <r>
      <rPr>
        <sz val="10"/>
        <rFont val="宋体"/>
        <family val="0"/>
      </rPr>
      <t>各县市积极寻求适合当地的淤泥资源化利用方案，争取对处理有价值的淤积物获得收益，如砂、可作为土壤肥料的淤积物等可获得收益，并对收益进行估算。</t>
    </r>
  </si>
  <si>
    <r>
      <t xml:space="preserve"> </t>
    </r>
    <r>
      <rPr>
        <sz val="10"/>
        <color indexed="8"/>
        <rFont val="宋体"/>
        <family val="0"/>
      </rPr>
      <t xml:space="preserve">   4、</t>
    </r>
    <r>
      <rPr>
        <sz val="10"/>
        <rFont val="宋体"/>
        <family val="0"/>
      </rPr>
      <t>各县市积极寻求适合当地的淤泥处理方案，减小运距，减少水保工程投资。</t>
    </r>
  </si>
  <si>
    <t>灌区名称</t>
  </si>
  <si>
    <t>所在地级行政区名称</t>
  </si>
  <si>
    <t>所在县级行政区名称</t>
  </si>
  <si>
    <t>建设规模</t>
  </si>
  <si>
    <t>灌区数量（个）</t>
  </si>
  <si>
    <t>灌溉面积
（万亩）</t>
  </si>
  <si>
    <t>效益</t>
  </si>
  <si>
    <t>设计</t>
  </si>
  <si>
    <t>有效</t>
  </si>
  <si>
    <t>排水沟</t>
  </si>
  <si>
    <t>投资
（万元）</t>
  </si>
  <si>
    <t>新增灌溉面积
（万亩）</t>
  </si>
  <si>
    <t>改善灌溉面积
（万亩）</t>
  </si>
  <si>
    <t>新增供水能力
（万m3）</t>
  </si>
  <si>
    <t>新增节水能力
（万m3）</t>
  </si>
  <si>
    <t>新增粮食生产能力（万kg）</t>
  </si>
  <si>
    <t>有效</t>
  </si>
  <si>
    <t>条数</t>
  </si>
  <si>
    <t>总长度(km)</t>
  </si>
  <si>
    <t>需防渗长度(km)</t>
  </si>
  <si>
    <t>处数(座）</t>
  </si>
  <si>
    <t>需建设处数（处）</t>
  </si>
  <si>
    <t>需建设长度（km）</t>
  </si>
  <si>
    <t>共和灌区</t>
  </si>
  <si>
    <t>工程名称</t>
  </si>
  <si>
    <t>调出区</t>
  </si>
  <si>
    <t>规划依据</t>
  </si>
  <si>
    <t>受水区</t>
  </si>
  <si>
    <t>工程效益</t>
  </si>
  <si>
    <t>所在地级行政区</t>
  </si>
  <si>
    <t>所在县级行政区</t>
  </si>
  <si>
    <t>取水口位置或水源</t>
  </si>
  <si>
    <t>所在流域</t>
  </si>
  <si>
    <t>工作阶段</t>
  </si>
  <si>
    <t>进展情况</t>
  </si>
  <si>
    <t>地级行政区</t>
  </si>
  <si>
    <t>县级行政区</t>
  </si>
  <si>
    <t>供水对象</t>
  </si>
  <si>
    <r>
      <t>设计调水流量            (m</t>
    </r>
    <r>
      <rPr>
        <vertAlign val="superscript"/>
        <sz val="10"/>
        <color indexed="8"/>
        <rFont val="宋体"/>
        <family val="0"/>
      </rPr>
      <t>3</t>
    </r>
    <r>
      <rPr>
        <sz val="10"/>
        <color indexed="8"/>
        <rFont val="宋体"/>
        <family val="0"/>
      </rPr>
      <t>/s）</t>
    </r>
  </si>
  <si>
    <r>
      <t>供水量 （万m</t>
    </r>
    <r>
      <rPr>
        <vertAlign val="superscript"/>
        <sz val="10"/>
        <rFont val="宋体"/>
        <family val="0"/>
      </rPr>
      <t>3</t>
    </r>
    <r>
      <rPr>
        <sz val="10"/>
        <rFont val="宋体"/>
        <family val="0"/>
      </rPr>
      <t>）</t>
    </r>
  </si>
  <si>
    <t>供水人口（万人）</t>
  </si>
  <si>
    <t>灌溉面积</t>
  </si>
  <si>
    <t>城镇生活</t>
  </si>
  <si>
    <t>农村生活</t>
  </si>
  <si>
    <t>工业</t>
  </si>
  <si>
    <t>农业灌溉</t>
  </si>
  <si>
    <t>供水合计</t>
  </si>
  <si>
    <t>城镇人口</t>
  </si>
  <si>
    <t>农村人口</t>
  </si>
  <si>
    <t>新增  （万亩）</t>
  </si>
  <si>
    <t>改善  （万亩）</t>
  </si>
  <si>
    <t>迪庆</t>
  </si>
  <si>
    <t>徳钦</t>
  </si>
  <si>
    <t>奔子栏</t>
  </si>
  <si>
    <t>金沙江</t>
  </si>
  <si>
    <t>楚雄</t>
  </si>
  <si>
    <t>工农业</t>
  </si>
  <si>
    <r>
      <t>投资</t>
    </r>
    <r>
      <rPr>
        <sz val="10"/>
        <rFont val="Times New Roman"/>
        <family val="1"/>
      </rPr>
      <t xml:space="preserve">   
</t>
    </r>
    <r>
      <rPr>
        <sz val="10"/>
        <rFont val="宋体"/>
        <family val="0"/>
      </rPr>
      <t>（万元）</t>
    </r>
  </si>
  <si>
    <t>滇中引水牟定受益区配套工程</t>
  </si>
  <si>
    <r>
      <t>取水口取水流量            (m</t>
    </r>
    <r>
      <rPr>
        <vertAlign val="superscript"/>
        <sz val="10"/>
        <rFont val="宋体"/>
        <family val="0"/>
      </rPr>
      <t>3/</t>
    </r>
    <r>
      <rPr>
        <sz val="10"/>
        <rFont val="宋体"/>
        <family val="0"/>
      </rPr>
      <t>s)</t>
    </r>
  </si>
  <si>
    <t>滇中引水工程建设规划</t>
  </si>
  <si>
    <t>规划阶段</t>
  </si>
  <si>
    <r>
      <t>调水量
（万m</t>
    </r>
    <r>
      <rPr>
        <vertAlign val="superscript"/>
        <sz val="10"/>
        <color indexed="8"/>
        <rFont val="宋体"/>
        <family val="0"/>
      </rPr>
      <t>3</t>
    </r>
    <r>
      <rPr>
        <sz val="10"/>
        <color indexed="8"/>
        <rFont val="宋体"/>
        <family val="0"/>
      </rPr>
      <t>）</t>
    </r>
  </si>
  <si>
    <t>建设内容</t>
  </si>
  <si>
    <t>输水明渠（km)</t>
  </si>
  <si>
    <t>输水隧洞（km)</t>
  </si>
  <si>
    <t>输水管道（km)</t>
  </si>
  <si>
    <t>取水口位置</t>
  </si>
  <si>
    <t>渡槽（km)</t>
  </si>
  <si>
    <t>受水区未端位置</t>
  </si>
  <si>
    <t>输水线路长</t>
  </si>
  <si>
    <t>（km)其中：</t>
  </si>
  <si>
    <t>牟定县“十三五”跨流域调水配套工程规划表</t>
  </si>
  <si>
    <t>乡镇名称</t>
  </si>
  <si>
    <t>沟渠衬砌</t>
  </si>
  <si>
    <t>安装管道</t>
  </si>
  <si>
    <t>坝塘整治</t>
  </si>
  <si>
    <t>提水泵站</t>
  </si>
  <si>
    <t>效益</t>
  </si>
  <si>
    <t>条</t>
  </si>
  <si>
    <t>km</t>
  </si>
  <si>
    <t>座</t>
  </si>
  <si>
    <t>装机（kw）</t>
  </si>
  <si>
    <t>受益人口（万人）</t>
  </si>
  <si>
    <t>投资（万元）</t>
  </si>
  <si>
    <t>沟渠衬砌</t>
  </si>
  <si>
    <t>安装管道</t>
  </si>
  <si>
    <t>水池窖建设</t>
  </si>
  <si>
    <t>坝塘整治</t>
  </si>
  <si>
    <t>提水泵站</t>
  </si>
  <si>
    <t>打井</t>
  </si>
  <si>
    <t>效益</t>
  </si>
  <si>
    <t>条</t>
  </si>
  <si>
    <t>km</t>
  </si>
  <si>
    <t>个</t>
  </si>
  <si>
    <t>m3</t>
  </si>
  <si>
    <t>座</t>
  </si>
  <si>
    <t>装机（kw）</t>
  </si>
  <si>
    <t>眼</t>
  </si>
  <si>
    <t>深（m）</t>
  </si>
  <si>
    <t>村委会名称</t>
  </si>
  <si>
    <t>序号</t>
  </si>
  <si>
    <t>解决饮水人口（万人）</t>
  </si>
  <si>
    <t>牟定县“十三五”五小水利工程建设规划表</t>
  </si>
  <si>
    <t>涉及的乡镇(团、场等)</t>
  </si>
  <si>
    <t>龙头企业资产(万元)</t>
  </si>
  <si>
    <t>企业级别(国家级、省级、州市级、县级)</t>
  </si>
  <si>
    <t>受益人口(万人)</t>
  </si>
  <si>
    <t>工程投资(万元)</t>
  </si>
  <si>
    <t>资金筹措(万元)</t>
  </si>
  <si>
    <t>运行管理单位(企业)</t>
  </si>
  <si>
    <t>合计(亩)</t>
  </si>
  <si>
    <t>其中龙头企业受益面积(亩)</t>
  </si>
  <si>
    <t>农户受益面积(亩)</t>
  </si>
  <si>
    <t>年总产值
(万元)</t>
  </si>
  <si>
    <t>新增节水能力
(万m3/年)</t>
  </si>
  <si>
    <t>新增经济作物产值(万元/年)</t>
  </si>
  <si>
    <t>节地(亩)</t>
  </si>
  <si>
    <t>企业增收(万元/年)</t>
  </si>
  <si>
    <t>农民增收(元/年.人)</t>
  </si>
  <si>
    <t>面积(亩)</t>
  </si>
  <si>
    <t>管道长度(Km)</t>
  </si>
  <si>
    <t>碗厂片区(海田、新田平掌)</t>
  </si>
  <si>
    <t>牟定县大丰农业开发有限责任公司</t>
  </si>
  <si>
    <t>军屯山庙片区(山庙茶园)</t>
  </si>
  <si>
    <t>牟定县兴发工贸有限责任公司</t>
  </si>
  <si>
    <t>天山片区(天山、化佛茶)</t>
  </si>
  <si>
    <t>云南牟定天山生态茶厂</t>
  </si>
  <si>
    <t>云南牟定三福工贸有限公司</t>
  </si>
  <si>
    <t>飒马厂片区2(飒马厂加油站)</t>
  </si>
  <si>
    <t>云南牟定恒瑞生物科技有限公司</t>
  </si>
  <si>
    <t>江坡片区(迤庄菜冲箐)</t>
  </si>
  <si>
    <t>云南楚雄圣谷食品有限公司</t>
  </si>
  <si>
    <t>蔬菜(西红柿、辣椒)</t>
  </si>
  <si>
    <t>碑厅片区(水冬瓜村)</t>
  </si>
  <si>
    <t>云南新世纪中药饮片有限公司</t>
  </si>
  <si>
    <t>小屯片区</t>
  </si>
  <si>
    <t>安乐乡</t>
  </si>
  <si>
    <t>云南牟定绿源林果种植专业合作社</t>
  </si>
  <si>
    <t>冬桃</t>
  </si>
  <si>
    <t>牟定县“十三五”特色产业高效节水灌溉建设规划表</t>
  </si>
  <si>
    <t>戌街乡</t>
  </si>
  <si>
    <t>县级</t>
  </si>
  <si>
    <t>私营</t>
  </si>
  <si>
    <t>企业</t>
  </si>
  <si>
    <t>生态茶叶</t>
  </si>
  <si>
    <t>河节冲片区</t>
  </si>
  <si>
    <t>凤屯镇</t>
  </si>
  <si>
    <t>用水户协会</t>
  </si>
  <si>
    <t>云南红梨</t>
  </si>
  <si>
    <t>玫瑰</t>
  </si>
  <si>
    <t>江坡镇</t>
  </si>
  <si>
    <t>青梅</t>
  </si>
  <si>
    <t>蟠猫乡</t>
  </si>
  <si>
    <t>桃苴片区</t>
  </si>
  <si>
    <t>新桥镇</t>
  </si>
  <si>
    <t>桔梗、红花、当归</t>
  </si>
  <si>
    <t>公司+农户</t>
  </si>
  <si>
    <t>合计</t>
  </si>
  <si>
    <t>高效节水灌溉</t>
  </si>
  <si>
    <t>片</t>
  </si>
  <si>
    <t>新增灌溉面积（万亩）</t>
  </si>
  <si>
    <t>改善灌溉面积（万亩）</t>
  </si>
  <si>
    <t>牟定县“十三五”小型灌区建设规划表</t>
  </si>
  <si>
    <t>所在乡镇</t>
  </si>
  <si>
    <t>面积（亩）</t>
  </si>
  <si>
    <t>主要种植作物</t>
  </si>
  <si>
    <t>投资    （万元）</t>
  </si>
  <si>
    <t>亩均投资（元）</t>
  </si>
  <si>
    <r>
      <rPr>
        <sz val="11"/>
        <rFont val="宋体"/>
        <family val="0"/>
      </rPr>
      <t>规划依据</t>
    </r>
  </si>
  <si>
    <r>
      <rPr>
        <sz val="11"/>
        <rFont val="宋体"/>
        <family val="0"/>
      </rPr>
      <t>水土流失综合治理面积（</t>
    </r>
    <r>
      <rPr>
        <sz val="11"/>
        <rFont val="Times New Roman"/>
        <family val="1"/>
      </rPr>
      <t>km</t>
    </r>
    <r>
      <rPr>
        <vertAlign val="superscript"/>
        <sz val="11"/>
        <rFont val="Times New Roman"/>
        <family val="1"/>
      </rPr>
      <t>2</t>
    </r>
    <r>
      <rPr>
        <sz val="11"/>
        <rFont val="宋体"/>
        <family val="0"/>
      </rPr>
      <t>）</t>
    </r>
  </si>
  <si>
    <r>
      <rPr>
        <sz val="11"/>
        <rFont val="宋体"/>
        <family val="0"/>
      </rPr>
      <t>国家已规划</t>
    </r>
  </si>
  <si>
    <r>
      <rPr>
        <sz val="11"/>
        <rFont val="宋体"/>
        <family val="0"/>
      </rPr>
      <t>其它规划</t>
    </r>
  </si>
  <si>
    <t>牟定县“十三五”水土保持治理规划表</t>
  </si>
  <si>
    <r>
      <rPr>
        <sz val="11"/>
        <rFont val="宋体"/>
        <family val="0"/>
      </rPr>
      <t>区（县）</t>
    </r>
  </si>
  <si>
    <r>
      <rPr>
        <sz val="11"/>
        <rFont val="宋体"/>
        <family val="0"/>
      </rPr>
      <t>项目名称</t>
    </r>
  </si>
  <si>
    <t>规划测算投资       （万元）</t>
  </si>
  <si>
    <t>主要建设内容</t>
  </si>
  <si>
    <t>建设起止年限</t>
  </si>
  <si>
    <t>城州市名称</t>
  </si>
  <si>
    <t>城乡镇代码</t>
  </si>
  <si>
    <t>所在三级区</t>
  </si>
  <si>
    <t xml:space="preserve">项目情况   </t>
  </si>
  <si>
    <t>水源地名称</t>
  </si>
  <si>
    <t>水源水质类别</t>
  </si>
  <si>
    <t>水库坝型</t>
  </si>
  <si>
    <t>现状坝高（m）</t>
  </si>
  <si>
    <t>所在河流名称</t>
  </si>
  <si>
    <t>设计达到供水保证率（%）</t>
  </si>
  <si>
    <t>计划解决人口</t>
  </si>
  <si>
    <t>投资估算（万元）</t>
  </si>
  <si>
    <t>楚雄州</t>
  </si>
  <si>
    <t>龙川河</t>
  </si>
  <si>
    <t>龙虎水库水源地</t>
  </si>
  <si>
    <t>Ⅲ</t>
  </si>
  <si>
    <t>龙虎水库水源地保护工程</t>
  </si>
  <si>
    <t>地表水</t>
  </si>
  <si>
    <t>水源地</t>
  </si>
  <si>
    <t>蓄水</t>
  </si>
  <si>
    <t>新水源</t>
  </si>
  <si>
    <t>中型</t>
  </si>
  <si>
    <t>心墙坝</t>
  </si>
  <si>
    <t>68</t>
  </si>
  <si>
    <t>金沙江水系龙川河上游老虎箐</t>
  </si>
  <si>
    <t>中屯水库水源地</t>
  </si>
  <si>
    <t>中屯水库水源地保护工程</t>
  </si>
  <si>
    <t>47.5</t>
  </si>
  <si>
    <t>长江流域金沙江水系龙川江支流孟岗河上游</t>
  </si>
  <si>
    <t>大跃进水库水源地</t>
  </si>
  <si>
    <t>大跃进水库水源地保护工程</t>
  </si>
  <si>
    <t>小（一）型</t>
  </si>
  <si>
    <t>35</t>
  </si>
  <si>
    <t>长江流域金沙江水系龙川江支流</t>
  </si>
  <si>
    <t>序号</t>
  </si>
  <si>
    <t xml:space="preserve">水闸名称 </t>
  </si>
  <si>
    <t>规模</t>
  </si>
  <si>
    <t>所在县级行政区</t>
  </si>
  <si>
    <t>主要功能</t>
  </si>
  <si>
    <t>建设年代（年）</t>
  </si>
  <si>
    <t>安全类别</t>
  </si>
  <si>
    <t>受影响对象</t>
  </si>
  <si>
    <t>存在主要病险问题</t>
  </si>
  <si>
    <t>除险加固主要措施</t>
  </si>
  <si>
    <t>总投资 （万元）</t>
  </si>
  <si>
    <t>除险加固后增加效益</t>
  </si>
  <si>
    <t>备注</t>
  </si>
  <si>
    <t>耕地(万亩)</t>
  </si>
  <si>
    <t>合计</t>
  </si>
  <si>
    <t>小(2)型</t>
  </si>
  <si>
    <t>牟定县</t>
  </si>
  <si>
    <t>无机械启闭机</t>
  </si>
  <si>
    <t>牟定县“十三五”水源地保护建设规划表</t>
  </si>
  <si>
    <t>整治工程名称</t>
  </si>
  <si>
    <t>项目建设地点</t>
  </si>
  <si>
    <t>主要防护对象</t>
  </si>
  <si>
    <t>综合整治内容</t>
  </si>
  <si>
    <t>整治河段名称</t>
  </si>
  <si>
    <t>所在乡镇</t>
  </si>
  <si>
    <t>所在行政村及自然村</t>
  </si>
  <si>
    <t>保护和受益人口(万人)</t>
  </si>
  <si>
    <t>保护和受益耕地面积（亩）</t>
  </si>
  <si>
    <t>整治河道长度
（km）</t>
  </si>
  <si>
    <t>河道疏浚
（km）</t>
  </si>
  <si>
    <t>河道拓宽
（km）</t>
  </si>
  <si>
    <t>建设堤防和护岸长度（km）</t>
  </si>
  <si>
    <t>生态景观建设长度（km）</t>
  </si>
  <si>
    <t>整治池塘、堰坝（个）</t>
  </si>
  <si>
    <t>水系连通工程</t>
  </si>
  <si>
    <t>生态公厕（个）</t>
  </si>
  <si>
    <t>垃圾房（个）</t>
  </si>
  <si>
    <t>总投资
（万元）</t>
  </si>
  <si>
    <t>长度（km）</t>
  </si>
  <si>
    <t>建筑物（座）</t>
  </si>
  <si>
    <t>牟定县“十三五”农村河道综合整治工程规划表</t>
  </si>
  <si>
    <t>合计</t>
  </si>
  <si>
    <t>水利</t>
  </si>
  <si>
    <t>数量</t>
  </si>
  <si>
    <t>雨量站</t>
  </si>
  <si>
    <t>自动</t>
  </si>
  <si>
    <t>县（区、市）</t>
  </si>
  <si>
    <t>站名</t>
  </si>
  <si>
    <t>站点类别</t>
  </si>
  <si>
    <t>站点为简易或自动</t>
  </si>
  <si>
    <t>站点所属部门</t>
  </si>
  <si>
    <t>所在乡镇</t>
  </si>
  <si>
    <t>经度/纬度</t>
  </si>
  <si>
    <t>设立日期</t>
  </si>
  <si>
    <t>编码情况</t>
  </si>
  <si>
    <t>所属小流域</t>
  </si>
  <si>
    <t>楚雄</t>
  </si>
  <si>
    <t>牟定</t>
  </si>
  <si>
    <t>大麦地</t>
  </si>
  <si>
    <t>凤屯</t>
  </si>
  <si>
    <t>紫甸河新房</t>
  </si>
  <si>
    <t>新建</t>
  </si>
  <si>
    <t>古岩河小古岩流域</t>
  </si>
  <si>
    <t>古岩河阿橄榄流域</t>
  </si>
  <si>
    <t>紫甸河凤屯</t>
  </si>
  <si>
    <t>联丰小流域</t>
  </si>
  <si>
    <t>紫甸河建新</t>
  </si>
  <si>
    <t>柳树桥</t>
  </si>
  <si>
    <t>王家村</t>
  </si>
  <si>
    <t>老纳</t>
  </si>
  <si>
    <t>伏龙基</t>
  </si>
  <si>
    <t>八道河</t>
  </si>
  <si>
    <t>凹波罗箐</t>
  </si>
  <si>
    <t>邓家冲</t>
  </si>
  <si>
    <t>高河</t>
  </si>
  <si>
    <t>谢家小流域</t>
  </si>
  <si>
    <t>彭家</t>
  </si>
  <si>
    <t>乐利冲</t>
  </si>
  <si>
    <t>磨刀河</t>
  </si>
  <si>
    <t>所在小流域</t>
  </si>
  <si>
    <t>山洪沟</t>
  </si>
  <si>
    <t>山洪沟长(km)</t>
  </si>
  <si>
    <t>所在位置</t>
  </si>
  <si>
    <t>小流域名称</t>
  </si>
  <si>
    <t>山洪沟名称</t>
  </si>
  <si>
    <t>县</t>
  </si>
  <si>
    <t>乡镇</t>
  </si>
  <si>
    <t>行政村</t>
  </si>
  <si>
    <t>自然村</t>
  </si>
  <si>
    <t>防护对象</t>
  </si>
  <si>
    <t>人口(人)</t>
  </si>
  <si>
    <t>耕地面积(亩)</t>
  </si>
  <si>
    <t>城镇、集中居民点及重要设施情况</t>
  </si>
  <si>
    <t>护岸及堤防（km）</t>
  </si>
  <si>
    <t>沟道疏浚</t>
  </si>
  <si>
    <t>护岸</t>
  </si>
  <si>
    <t>堤防</t>
  </si>
  <si>
    <t>小计</t>
  </si>
  <si>
    <t>新房</t>
  </si>
  <si>
    <t>小利黑、大麦地</t>
  </si>
  <si>
    <t>牟定县“十三五”山洪沟治理规划表</t>
  </si>
  <si>
    <t>长度(km)</t>
  </si>
  <si>
    <t>估算投资（万元）</t>
  </si>
  <si>
    <t>序号</t>
  </si>
  <si>
    <t xml:space="preserve">项目名称 </t>
  </si>
  <si>
    <t>建设性质</t>
  </si>
  <si>
    <t>所在县级行政区</t>
  </si>
  <si>
    <t>小型水库工程</t>
  </si>
  <si>
    <t>机井工程</t>
  </si>
  <si>
    <t>连通工程</t>
  </si>
  <si>
    <t>其他配套工程</t>
  </si>
  <si>
    <t>抗旱效益</t>
  </si>
  <si>
    <t>总投资（万元）</t>
  </si>
  <si>
    <t>规划建设起止年限</t>
  </si>
  <si>
    <t>备注</t>
  </si>
  <si>
    <t>水库
类型</t>
  </si>
  <si>
    <t>供水范围</t>
  </si>
  <si>
    <r>
      <t>总库容(万m</t>
    </r>
    <r>
      <rPr>
        <vertAlign val="superscript"/>
        <sz val="10"/>
        <color indexed="8"/>
        <rFont val="宋体"/>
        <family val="0"/>
      </rPr>
      <t>3</t>
    </r>
    <r>
      <rPr>
        <sz val="10"/>
        <color indexed="8"/>
        <rFont val="宋体"/>
        <family val="0"/>
      </rPr>
      <t>)</t>
    </r>
  </si>
  <si>
    <r>
      <t>供水量(万m</t>
    </r>
    <r>
      <rPr>
        <vertAlign val="superscript"/>
        <sz val="10"/>
        <color indexed="8"/>
        <rFont val="宋体"/>
        <family val="0"/>
      </rPr>
      <t>3</t>
    </r>
    <r>
      <rPr>
        <sz val="10"/>
        <color indexed="8"/>
        <rFont val="宋体"/>
        <family val="0"/>
      </rPr>
      <t>)</t>
    </r>
  </si>
  <si>
    <t>发展灌溉面积（亩）</t>
  </si>
  <si>
    <t>改善灌溉面积（亩）</t>
  </si>
  <si>
    <t>机井
类型</t>
  </si>
  <si>
    <t>出水量</t>
  </si>
  <si>
    <t>输水线路长度</t>
  </si>
  <si>
    <t>连通长度</t>
  </si>
  <si>
    <t>连通
类型</t>
  </si>
  <si>
    <t>输水流量</t>
  </si>
  <si>
    <t>水源
类型</t>
  </si>
  <si>
    <t>保障范围</t>
  </si>
  <si>
    <r>
      <t>应急水量（m</t>
    </r>
    <r>
      <rPr>
        <vertAlign val="superscript"/>
        <sz val="10"/>
        <rFont val="宋体"/>
        <family val="0"/>
      </rPr>
      <t>3</t>
    </r>
    <r>
      <rPr>
        <sz val="10"/>
        <rFont val="宋体"/>
        <family val="0"/>
      </rPr>
      <t>）</t>
    </r>
  </si>
  <si>
    <t>保障人口（人）</t>
  </si>
  <si>
    <t>保障灌溉面积（亩）</t>
  </si>
  <si>
    <t>保障牧草面积（亩）</t>
  </si>
  <si>
    <t>总供水</t>
  </si>
  <si>
    <t>其中城镇</t>
  </si>
  <si>
    <t>农业</t>
  </si>
  <si>
    <t>(眼)</t>
  </si>
  <si>
    <r>
      <t>(m</t>
    </r>
    <r>
      <rPr>
        <vertAlign val="superscript"/>
        <sz val="10"/>
        <color indexed="8"/>
        <rFont val="宋体"/>
        <family val="0"/>
      </rPr>
      <t>3</t>
    </r>
    <r>
      <rPr>
        <sz val="10"/>
        <color indexed="8"/>
        <rFont val="宋体"/>
        <family val="0"/>
      </rPr>
      <t>/d)</t>
    </r>
  </si>
  <si>
    <t>(km)</t>
  </si>
  <si>
    <t>牟定县“十三五”抗旱应急水源工程规划表</t>
  </si>
  <si>
    <t>州市</t>
  </si>
  <si>
    <t>乡（镇）</t>
  </si>
  <si>
    <t>办公场地</t>
  </si>
  <si>
    <t>办公设备</t>
  </si>
  <si>
    <t>占地面积(㎡)</t>
  </si>
  <si>
    <t>建筑
面积
（㎡）</t>
  </si>
  <si>
    <t>单价
（万元）</t>
  </si>
  <si>
    <t>修缮面积（㎡）</t>
  </si>
  <si>
    <t>单价 
（万元）</t>
  </si>
  <si>
    <t>电脑(台)</t>
  </si>
  <si>
    <t>打印机(台)</t>
  </si>
  <si>
    <t>车辆(辆)</t>
  </si>
  <si>
    <t>全站仪（台）</t>
  </si>
  <si>
    <t>经纬仪（台）</t>
  </si>
  <si>
    <t>水准仪（台）</t>
  </si>
  <si>
    <t>手持GPS</t>
  </si>
  <si>
    <t>电话或传真机（部）</t>
  </si>
  <si>
    <t>电视（台）</t>
  </si>
  <si>
    <t>办公桌椅（套）</t>
  </si>
  <si>
    <t>办公楼新建</t>
  </si>
  <si>
    <t>牟定县“十三五”水利（水务）站（所）建设规划表</t>
  </si>
  <si>
    <t>牟定县“十三五”水利信息化建设规划表</t>
  </si>
  <si>
    <t>备注</t>
  </si>
  <si>
    <t>猫街河至新民水库提水工程</t>
  </si>
  <si>
    <t>楚雄州</t>
  </si>
  <si>
    <t>牟定县</t>
  </si>
  <si>
    <t>猫街河</t>
  </si>
  <si>
    <t>金沙江</t>
  </si>
  <si>
    <t>规划</t>
  </si>
  <si>
    <t>安乐乡辖区</t>
  </si>
  <si>
    <t>2016-2020</t>
  </si>
  <si>
    <t>安乐灌区</t>
  </si>
  <si>
    <t>安乐乡</t>
  </si>
  <si>
    <t>水稻、烤烟</t>
  </si>
  <si>
    <t>中峰水库灌区</t>
  </si>
  <si>
    <t>猫街</t>
  </si>
  <si>
    <t>石板</t>
  </si>
  <si>
    <t>太极</t>
  </si>
  <si>
    <t>陈家</t>
  </si>
  <si>
    <t>小屯</t>
  </si>
  <si>
    <t>蒙恩</t>
  </si>
  <si>
    <t>普家</t>
  </si>
  <si>
    <t>桃源</t>
  </si>
  <si>
    <t>河心</t>
  </si>
  <si>
    <t>直苴</t>
  </si>
  <si>
    <t>三家村</t>
  </si>
  <si>
    <t>安益</t>
  </si>
  <si>
    <t>大平地</t>
  </si>
  <si>
    <t>六渡</t>
  </si>
  <si>
    <t>羊旧</t>
  </si>
  <si>
    <t>力石</t>
  </si>
  <si>
    <t>大力石</t>
  </si>
  <si>
    <t>高卷槽、小红坡</t>
  </si>
  <si>
    <t>大民太</t>
  </si>
  <si>
    <t>小民太</t>
  </si>
  <si>
    <t>新村</t>
  </si>
  <si>
    <t>海资哨</t>
  </si>
  <si>
    <t>新田</t>
  </si>
  <si>
    <t>从中峰水库引水解决安益、六渡人畜用水</t>
  </si>
  <si>
    <t>牟定县</t>
  </si>
  <si>
    <t>2016-2020</t>
  </si>
  <si>
    <t>力石小流域重点治理</t>
  </si>
  <si>
    <t>Ⅲ</t>
  </si>
  <si>
    <t>地表水</t>
  </si>
  <si>
    <t>水源地</t>
  </si>
  <si>
    <t>蓄水</t>
  </si>
  <si>
    <t>新水源</t>
  </si>
  <si>
    <t>小（一）型</t>
  </si>
  <si>
    <t>楚雄州</t>
  </si>
  <si>
    <t>六渡河</t>
  </si>
  <si>
    <t>中峰水库水源地</t>
  </si>
  <si>
    <t>中峰水库水源地保护工程</t>
  </si>
  <si>
    <t>心墙坝</t>
  </si>
  <si>
    <t>42.5</t>
  </si>
  <si>
    <t>长江流域金沙江水系龙川江支流</t>
  </si>
  <si>
    <t>长江流域</t>
  </si>
  <si>
    <t>猫街河</t>
  </si>
  <si>
    <t>龙川河</t>
  </si>
  <si>
    <t>龙川江</t>
  </si>
  <si>
    <t>新田河</t>
  </si>
  <si>
    <t>猫街河综合整治工程</t>
  </si>
  <si>
    <t>猛岗河</t>
  </si>
  <si>
    <t>小屯、猫街村委会</t>
  </si>
  <si>
    <t>猫街集镇及沿岸农田</t>
  </si>
  <si>
    <t>羊旧河综合整治工程</t>
  </si>
  <si>
    <t>羊旧河村委会小村、羊旧河村</t>
  </si>
  <si>
    <t>龙川江羊旧河段沿岸农田</t>
  </si>
  <si>
    <t>六渡河综合整治工程</t>
  </si>
  <si>
    <t>直苴、安益、羊旧村委会</t>
  </si>
  <si>
    <t>中峰水库坝脚至电站河、田坝心至羊旧河段农田及沿岸村庄</t>
  </si>
  <si>
    <t>桃源河综合整治工程</t>
  </si>
  <si>
    <t>桃源河</t>
  </si>
  <si>
    <t>桃源、小屯村委会</t>
  </si>
  <si>
    <t>桃源到猫街河沿岸农田</t>
  </si>
  <si>
    <t>石板河综合整治工程</t>
  </si>
  <si>
    <t>石板河</t>
  </si>
  <si>
    <t>桃源村委会、猫街村委会</t>
  </si>
  <si>
    <t>西河闸到猫街河沿岸农田</t>
  </si>
  <si>
    <t>新田河综合整治工程</t>
  </si>
  <si>
    <t>观音塘河</t>
  </si>
  <si>
    <t>新田村委会小力石、冷水塘、干田村</t>
  </si>
  <si>
    <t>村委会下至干田村沿岸农田</t>
  </si>
  <si>
    <t>力石河综合整治工程</t>
  </si>
  <si>
    <t>力石河</t>
  </si>
  <si>
    <t>力石村委会</t>
  </si>
  <si>
    <t>沙田坝至民太公路桥段沿岸农田</t>
  </si>
  <si>
    <t>太极、河心村委会</t>
  </si>
  <si>
    <t>太极大桥至河心村段村庄及农田</t>
  </si>
  <si>
    <t>力石沙田水库引水工程</t>
  </si>
  <si>
    <t>新建</t>
  </si>
  <si>
    <t>大力石、海资哨、新村、三家村</t>
  </si>
  <si>
    <t>羊旧河提水工程</t>
  </si>
  <si>
    <t>河水</t>
  </si>
  <si>
    <t>羊旧河村</t>
  </si>
  <si>
    <t>从龙川江提水</t>
  </si>
  <si>
    <t>猫街河至新民水库提水工程</t>
  </si>
  <si>
    <t>雨水</t>
  </si>
  <si>
    <t>小屯、猫街、石板村委会</t>
  </si>
  <si>
    <t>从乡政府后大河闸提水</t>
  </si>
  <si>
    <t>小（二）型</t>
  </si>
  <si>
    <t>岔河闸水库</t>
  </si>
  <si>
    <t>金龙闸水库</t>
  </si>
  <si>
    <t>龙箐坝水库</t>
  </si>
  <si>
    <t>飒马场灌区</t>
  </si>
  <si>
    <t>凤屯镇</t>
  </si>
  <si>
    <t>飒马场</t>
  </si>
  <si>
    <t>红梨、玫瑰、烤烟</t>
  </si>
  <si>
    <t>龙丰灌区</t>
  </si>
  <si>
    <t>龙丰</t>
  </si>
  <si>
    <t>烤烟、水稻</t>
  </si>
  <si>
    <t>田丰灌区</t>
  </si>
  <si>
    <t>田丰</t>
  </si>
  <si>
    <t>牌坊灌区</t>
  </si>
  <si>
    <t>牌坊</t>
  </si>
  <si>
    <t>河节冲灌区</t>
  </si>
  <si>
    <t>河节冲</t>
  </si>
  <si>
    <t>葛根、烤烟</t>
  </si>
  <si>
    <t>凤屯灌区</t>
  </si>
  <si>
    <t>凤屯</t>
  </si>
  <si>
    <t>紫甸河小流域</t>
  </si>
  <si>
    <t>河牌小流域</t>
  </si>
  <si>
    <t>凤新小流域</t>
  </si>
  <si>
    <t>新房小流域</t>
  </si>
  <si>
    <t>腊湾小流域</t>
  </si>
  <si>
    <t>保护耕地及人口</t>
  </si>
  <si>
    <t>博德河</t>
  </si>
  <si>
    <t>紫甸河腊湾至建新段河道治理</t>
  </si>
  <si>
    <t>紫甸河湾腊至建新段</t>
  </si>
  <si>
    <t>凤屯、建新、腊湾、新房村委会</t>
  </si>
  <si>
    <t>博德河河道治理</t>
  </si>
  <si>
    <t>龙丰、田丰村委会</t>
  </si>
  <si>
    <t>牌坊河河道治理</t>
  </si>
  <si>
    <t>牌坊河</t>
  </si>
  <si>
    <t>牌坊村委会</t>
  </si>
  <si>
    <t>河节冲河河道治理</t>
  </si>
  <si>
    <t>河节冲河</t>
  </si>
  <si>
    <t>河节冲村委会</t>
  </si>
  <si>
    <t>化佛山光伏提水</t>
  </si>
  <si>
    <t>化佛山及周边村庄</t>
  </si>
  <si>
    <t>凤屯镇长箐建设抽水站</t>
  </si>
  <si>
    <t>军屯村委会</t>
  </si>
  <si>
    <t>天台村委会</t>
  </si>
  <si>
    <t>柳丰村委会</t>
  </si>
  <si>
    <t>龙源水库</t>
  </si>
  <si>
    <t>庆丰村委会</t>
  </si>
  <si>
    <t>龙池村委会</t>
  </si>
  <si>
    <t>际盛村委会</t>
  </si>
  <si>
    <t>新甸村委会</t>
  </si>
  <si>
    <t>华星村委会</t>
  </si>
  <si>
    <t>罗马水库</t>
  </si>
  <si>
    <t>庆丰中沟水库</t>
  </si>
  <si>
    <t>佐官水库</t>
  </si>
  <si>
    <t>小星水库</t>
  </si>
  <si>
    <t>共和镇</t>
  </si>
  <si>
    <t>散花洞村</t>
  </si>
  <si>
    <t>双树村</t>
  </si>
  <si>
    <t>刘屯村</t>
  </si>
  <si>
    <t>万丰村</t>
  </si>
  <si>
    <t>吴家</t>
  </si>
  <si>
    <t>天皇庙</t>
  </si>
  <si>
    <t>施大路</t>
  </si>
  <si>
    <t>笕槽河</t>
  </si>
  <si>
    <t>西山寺村</t>
  </si>
  <si>
    <t>马军屯村</t>
  </si>
  <si>
    <t>北山寺村</t>
  </si>
  <si>
    <t>土主庙村</t>
  </si>
  <si>
    <t>秦家村</t>
  </si>
  <si>
    <t>中黄二组</t>
  </si>
  <si>
    <t>下村三组</t>
  </si>
  <si>
    <t>习大河村</t>
  </si>
  <si>
    <t>张家</t>
  </si>
  <si>
    <t>朱山一组</t>
  </si>
  <si>
    <t>朱山二组</t>
  </si>
  <si>
    <t>沙兆龙</t>
  </si>
  <si>
    <t>沙长甸</t>
  </si>
  <si>
    <t>硝塘</t>
  </si>
  <si>
    <t>斧眼冲</t>
  </si>
  <si>
    <t>栗子树</t>
  </si>
  <si>
    <t>宋家</t>
  </si>
  <si>
    <t>宋官屯村</t>
  </si>
  <si>
    <t>董官屯</t>
  </si>
  <si>
    <t>盛果村</t>
  </si>
  <si>
    <t>温巷</t>
  </si>
  <si>
    <t>马头村</t>
  </si>
  <si>
    <t>马料田村</t>
  </si>
  <si>
    <t>储家村</t>
  </si>
  <si>
    <t>中黄一组</t>
  </si>
  <si>
    <t>下村一组</t>
  </si>
  <si>
    <t>下村二组</t>
  </si>
  <si>
    <t>下村四组</t>
  </si>
  <si>
    <t>詹官屯一组</t>
  </si>
  <si>
    <t>詹官屯二组</t>
  </si>
  <si>
    <t>詹官屯三组</t>
  </si>
  <si>
    <t>詹官屯四组</t>
  </si>
  <si>
    <t>詹官屯五组</t>
  </si>
  <si>
    <t>詹官屯六组</t>
  </si>
  <si>
    <t>詹官屯七组</t>
  </si>
  <si>
    <t>纸房一组</t>
  </si>
  <si>
    <t>纸房二组</t>
  </si>
  <si>
    <t>许家桥</t>
  </si>
  <si>
    <t>云龙山</t>
  </si>
  <si>
    <t>龙树</t>
  </si>
  <si>
    <t>果咀子</t>
  </si>
  <si>
    <t>果凹子</t>
  </si>
  <si>
    <t>龙川河河道治理</t>
  </si>
  <si>
    <t>共和镇及江坡镇</t>
  </si>
  <si>
    <t>龙沙河河道治理</t>
  </si>
  <si>
    <t>龙沙河</t>
  </si>
  <si>
    <t>代冲村委会柿花树</t>
  </si>
  <si>
    <t>弯字头河河道治理</t>
  </si>
  <si>
    <t>弯子头河</t>
  </si>
  <si>
    <t>代冲村委会曹河村</t>
  </si>
  <si>
    <t>张冲河河道治理</t>
  </si>
  <si>
    <t>张冲河</t>
  </si>
  <si>
    <t>代冲村委会刘山头</t>
  </si>
  <si>
    <t>杨小河河道治理</t>
  </si>
  <si>
    <t>杨小河</t>
  </si>
  <si>
    <t>大岗箐河道治理</t>
  </si>
  <si>
    <t>大岗阱</t>
  </si>
  <si>
    <t>代冲村委会代冲一</t>
  </si>
  <si>
    <t>新坝河河道治理</t>
  </si>
  <si>
    <t>新坝河</t>
  </si>
  <si>
    <t>代冲村委会宿山村</t>
  </si>
  <si>
    <t>门前沟河道治理</t>
  </si>
  <si>
    <t>门前沟河</t>
  </si>
  <si>
    <t>代冲村委会沙兆龙</t>
  </si>
  <si>
    <t>张坝河河道治理</t>
  </si>
  <si>
    <t>张坝河</t>
  </si>
  <si>
    <t>代冲村委会龙裕村</t>
  </si>
  <si>
    <t>刘眨河河道治理</t>
  </si>
  <si>
    <t>刘闸河</t>
  </si>
  <si>
    <t>牟尼村委会詹一二</t>
  </si>
  <si>
    <t>卷漕河河道治理</t>
  </si>
  <si>
    <t>卷槽河村下河段</t>
  </si>
  <si>
    <t>余新村委会卷槽河村</t>
  </si>
  <si>
    <t>小闸河河道治理</t>
  </si>
  <si>
    <t>小闸河</t>
  </si>
  <si>
    <t>余新村委会施大路</t>
  </si>
  <si>
    <t>盘河河道治理</t>
  </si>
  <si>
    <t>盘河</t>
  </si>
  <si>
    <t>余新村委会肖塘</t>
  </si>
  <si>
    <t>河田河河道治理</t>
  </si>
  <si>
    <t>河田河</t>
  </si>
  <si>
    <t>余新村委会斧眼冲</t>
  </si>
  <si>
    <t>小河河道治理</t>
  </si>
  <si>
    <t>小河</t>
  </si>
  <si>
    <t>龙池村委会李铁屯四</t>
  </si>
  <si>
    <t>杨柳阱河河道治理</t>
  </si>
  <si>
    <t>杨柳阱河</t>
  </si>
  <si>
    <t>柳丰村委会塘坝</t>
  </si>
  <si>
    <t>门前沟</t>
  </si>
  <si>
    <t>河梁村委会大石桥</t>
  </si>
  <si>
    <t>何梁村委会看灯村</t>
  </si>
  <si>
    <t>新甸村委会大新村</t>
  </si>
  <si>
    <t>苍河河道治理</t>
  </si>
  <si>
    <t>苍河</t>
  </si>
  <si>
    <t>利畔闸河河道治理</t>
  </si>
  <si>
    <t>利畔闸河</t>
  </si>
  <si>
    <t>中屯村委会凹波罗</t>
  </si>
  <si>
    <t>门前河河道治理</t>
  </si>
  <si>
    <t>门前河</t>
  </si>
  <si>
    <t>中屯村委会大路上</t>
  </si>
  <si>
    <t>烂泥阱河河道治理</t>
  </si>
  <si>
    <t>烂泥阱河</t>
  </si>
  <si>
    <t>中屯村委会烂泥阱</t>
  </si>
  <si>
    <t>东边河河道治理</t>
  </si>
  <si>
    <t>东边河</t>
  </si>
  <si>
    <t>余丁村委会吴家山</t>
  </si>
  <si>
    <t>庙河河道治理</t>
  </si>
  <si>
    <t>庙河</t>
  </si>
  <si>
    <t>余丁村委会余丁坝</t>
  </si>
  <si>
    <t>山阱河河道治理</t>
  </si>
  <si>
    <t>山阱河</t>
  </si>
  <si>
    <t>余丁委会山丫口</t>
  </si>
  <si>
    <t>夹石板河河道治理</t>
  </si>
  <si>
    <t>夹石板河</t>
  </si>
  <si>
    <t>余丁村委会麻栗树</t>
  </si>
  <si>
    <t>平田河道治理</t>
  </si>
  <si>
    <t>平田</t>
  </si>
  <si>
    <t>余丁村委会云龙山</t>
  </si>
  <si>
    <t>续改建</t>
  </si>
  <si>
    <t>重点</t>
  </si>
  <si>
    <t>红豆树水库</t>
  </si>
  <si>
    <t>龙丰小型灌区</t>
  </si>
  <si>
    <t>水稻烤烟</t>
  </si>
  <si>
    <t>龙丰水库</t>
  </si>
  <si>
    <t>老纳水库</t>
  </si>
  <si>
    <t>老纳小型灌区</t>
  </si>
  <si>
    <t>新民水库</t>
  </si>
  <si>
    <t>新民小型灌区</t>
  </si>
  <si>
    <t>江坡</t>
  </si>
  <si>
    <t>高家</t>
  </si>
  <si>
    <t>和平</t>
  </si>
  <si>
    <t>福龙</t>
  </si>
  <si>
    <t>江坡镇</t>
  </si>
  <si>
    <t>者普</t>
  </si>
  <si>
    <t>龙排</t>
  </si>
  <si>
    <t>乐利冲</t>
  </si>
  <si>
    <t>柜山</t>
  </si>
  <si>
    <t>高平</t>
  </si>
  <si>
    <t>民乐</t>
  </si>
  <si>
    <t>丰乐</t>
  </si>
  <si>
    <t>普村</t>
  </si>
  <si>
    <t>米村</t>
  </si>
  <si>
    <t>大力歪河河道治理</t>
  </si>
  <si>
    <t>大力歪河</t>
  </si>
  <si>
    <t>高家村委会</t>
  </si>
  <si>
    <t>福龙、民乐</t>
  </si>
  <si>
    <t>喜鹊窝河河道治理</t>
  </si>
  <si>
    <t>喜鹊窝河</t>
  </si>
  <si>
    <t>米村、普村、丰乐</t>
  </si>
  <si>
    <t>小力歪河河道治理</t>
  </si>
  <si>
    <t>小力歪河</t>
  </si>
  <si>
    <t>机井</t>
  </si>
  <si>
    <t>2016-2017</t>
  </si>
  <si>
    <t>机井提水</t>
  </si>
  <si>
    <t>小凤家打井抗旱工程</t>
  </si>
  <si>
    <t>月亮阱打井抗旱工程</t>
  </si>
  <si>
    <t>高家打井抗旱工程</t>
  </si>
  <si>
    <t>小向阳打井抗旱工程</t>
  </si>
  <si>
    <t>石洞打井抗旱工程</t>
  </si>
  <si>
    <t>小王家打井抗旱工程</t>
  </si>
  <si>
    <t>者鸠打井抗旱工程</t>
  </si>
  <si>
    <t>团结坝</t>
  </si>
  <si>
    <t>碑厅村委会</t>
  </si>
  <si>
    <t>牟定县水资源综合利用规划</t>
  </si>
  <si>
    <t>完成</t>
  </si>
  <si>
    <t>古岩河</t>
  </si>
  <si>
    <t>云南省牟定县古岩河大古岩村至啊橄榄村段河道治理工程</t>
  </si>
  <si>
    <t>文龙河</t>
  </si>
  <si>
    <t>云南省牟定县文龙河朵苴村至朵基村河道治理工程</t>
  </si>
  <si>
    <t>新村水库</t>
  </si>
  <si>
    <t>双河闸</t>
  </si>
  <si>
    <t>高泉闸水库</t>
  </si>
  <si>
    <t>古岩集镇供水</t>
  </si>
  <si>
    <t>2015-2020</t>
  </si>
  <si>
    <t>蟠猫乡</t>
  </si>
  <si>
    <t>蟠猫乡蟠猫王家村</t>
  </si>
  <si>
    <t>蟠猫乡古岩嘎力簸</t>
  </si>
  <si>
    <t>2016-2018</t>
  </si>
  <si>
    <t>大新坝至新村水库河道治理</t>
  </si>
  <si>
    <t>长江流域</t>
  </si>
  <si>
    <t>新村河</t>
  </si>
  <si>
    <t>保护耕地及人口</t>
  </si>
  <si>
    <t>新村水库至水冬瓜段河道治理</t>
  </si>
  <si>
    <t>碑厅河</t>
  </si>
  <si>
    <t>古岩河河道治理</t>
  </si>
  <si>
    <t>碑厅、蟠猫村委会</t>
  </si>
  <si>
    <t>龙泉河河道治理</t>
  </si>
  <si>
    <t>龙泉河</t>
  </si>
  <si>
    <t>双龙、龙泉村委会</t>
  </si>
  <si>
    <t>小古岩</t>
  </si>
  <si>
    <t>龙泉</t>
  </si>
  <si>
    <t>阿橄榄</t>
  </si>
  <si>
    <t>古岩</t>
  </si>
  <si>
    <t>起家村、毕家村</t>
  </si>
  <si>
    <t>联丰</t>
  </si>
  <si>
    <t>河底村</t>
  </si>
  <si>
    <t>蟠猫</t>
  </si>
  <si>
    <t>双龙</t>
  </si>
  <si>
    <t>桃苴万润水库-挂箐坝沟渠联通</t>
  </si>
  <si>
    <t>万润水库底涵</t>
  </si>
  <si>
    <t>冷水河</t>
  </si>
  <si>
    <t>金沙江</t>
  </si>
  <si>
    <t>云南省五大基础网络重大建设项目</t>
  </si>
  <si>
    <t>规划</t>
  </si>
  <si>
    <t>新桥镇辖区</t>
  </si>
  <si>
    <t>小蒙恩大新田坝-和丰闸-先锋水库沟渠联通</t>
  </si>
  <si>
    <t>大新田坝水库底涵</t>
  </si>
  <si>
    <t>马厂赵大坝-卫星水库-半冲坝-新桥工农水库沟渠联通</t>
  </si>
  <si>
    <t>赵大坝水库底涵</t>
  </si>
  <si>
    <t>新桥镇</t>
  </si>
  <si>
    <t>新桥</t>
  </si>
  <si>
    <t>马厂</t>
  </si>
  <si>
    <t>官河</t>
  </si>
  <si>
    <t>有家</t>
  </si>
  <si>
    <t>长冲</t>
  </si>
  <si>
    <t>冷水</t>
  </si>
  <si>
    <t>云龙</t>
  </si>
  <si>
    <t>兴隆</t>
  </si>
  <si>
    <t>大村</t>
  </si>
  <si>
    <t>羊肝石</t>
  </si>
  <si>
    <t>桃苴</t>
  </si>
  <si>
    <t>顶头</t>
  </si>
  <si>
    <t>杜家庄</t>
  </si>
  <si>
    <t>大蒙恩</t>
  </si>
  <si>
    <t>小蒙恩</t>
  </si>
  <si>
    <t>牟定县新桥镇山外村片抗旱供水工程</t>
  </si>
  <si>
    <t>牟定县新桥镇</t>
  </si>
  <si>
    <t>新桥村委会杨家山寸抗旱应急工程</t>
  </si>
  <si>
    <t>集镇供水</t>
  </si>
  <si>
    <t>杨家山73户</t>
  </si>
  <si>
    <t>顶头村委会箐头村抗旱应急工程</t>
  </si>
  <si>
    <t>顶峰坝</t>
  </si>
  <si>
    <t>顶头村委会</t>
  </si>
  <si>
    <t>三面光沟渠</t>
  </si>
  <si>
    <t>顶头村委会共541户</t>
  </si>
  <si>
    <t>官河村委会栗柴冲、高冲村抗旱应急工程</t>
  </si>
  <si>
    <t>φ100mm机电井</t>
  </si>
  <si>
    <t>地下水</t>
  </si>
  <si>
    <t>栗柴冲、高冲共85户</t>
  </si>
  <si>
    <t>戌街乡</t>
  </si>
  <si>
    <t>伏龙基</t>
  </si>
  <si>
    <t>老纳</t>
  </si>
  <si>
    <t>戌街</t>
  </si>
  <si>
    <t>碗厂</t>
  </si>
  <si>
    <t>铁厂</t>
  </si>
  <si>
    <t>白沙</t>
  </si>
  <si>
    <t>左家</t>
  </si>
  <si>
    <t>水桥</t>
  </si>
  <si>
    <t>龙丰水库水源地</t>
  </si>
  <si>
    <t>均质土坝</t>
  </si>
  <si>
    <t>长江流域金沙江水系龙川江支流勐岗河上游</t>
  </si>
  <si>
    <t>牟定县“十三五”河闸新建、除险加固规划表</t>
  </si>
  <si>
    <t>地石么下村抗旱机电井</t>
  </si>
  <si>
    <t>2017年</t>
  </si>
  <si>
    <t>地且温泉井</t>
  </si>
  <si>
    <t>2016年</t>
  </si>
  <si>
    <t>项目名称</t>
  </si>
  <si>
    <t>水源工程</t>
  </si>
  <si>
    <t>一</t>
  </si>
  <si>
    <t>㈠</t>
  </si>
  <si>
    <t>㈡</t>
  </si>
  <si>
    <t>投资（万元）</t>
  </si>
  <si>
    <t>小㈡型水源工程</t>
  </si>
  <si>
    <t>改扩建</t>
  </si>
  <si>
    <t>小坝塘扩建为小㈡型水库</t>
  </si>
  <si>
    <t>二</t>
  </si>
  <si>
    <t>中小河流</t>
  </si>
  <si>
    <t>中小河流治理工程</t>
  </si>
  <si>
    <t>三</t>
  </si>
  <si>
    <t>连通工程</t>
  </si>
  <si>
    <t>项目位置</t>
  </si>
  <si>
    <t>牟定县戌街乡</t>
  </si>
  <si>
    <t>牟定县江坡镇</t>
  </si>
  <si>
    <t>牟定县蟠猫乡</t>
  </si>
  <si>
    <t>牟定县凤屯镇</t>
  </si>
  <si>
    <t>牟定县共和镇</t>
  </si>
  <si>
    <t>牟定县安乐乡</t>
  </si>
  <si>
    <t>全县7乡镇</t>
  </si>
  <si>
    <t>中小㈠型水源工程</t>
  </si>
  <si>
    <t>扩建</t>
  </si>
  <si>
    <t>四</t>
  </si>
  <si>
    <t>滇中引水配套工程</t>
  </si>
  <si>
    <t>牟定县辖区内</t>
  </si>
  <si>
    <t>五</t>
  </si>
  <si>
    <t>水库清淤工程</t>
  </si>
  <si>
    <t>小㈡型以上规模水库清淤</t>
  </si>
  <si>
    <t>清淤扩容</t>
  </si>
  <si>
    <t>六</t>
  </si>
  <si>
    <t>中型灌区续建配套工程</t>
  </si>
  <si>
    <t>共和重点中型灌区续建</t>
  </si>
  <si>
    <t>中型、小（一）型水库所在地</t>
  </si>
  <si>
    <t>小型灌区建设</t>
  </si>
  <si>
    <t>改扩建</t>
  </si>
  <si>
    <t>七</t>
  </si>
  <si>
    <t>小型灌区建设规划</t>
  </si>
  <si>
    <t>八</t>
  </si>
  <si>
    <t>农村饮水提质增效工程</t>
  </si>
  <si>
    <t>农村饮水提质增效</t>
  </si>
  <si>
    <t>全县合计</t>
  </si>
  <si>
    <t>全县合计</t>
  </si>
  <si>
    <t>全县7乡镇</t>
  </si>
  <si>
    <t>改扩建</t>
  </si>
  <si>
    <t>山区五小水利重点县建设</t>
  </si>
  <si>
    <t>全县7乡镇范围内，着重应考虑未实施该项目的乡镇。</t>
  </si>
  <si>
    <t>九</t>
  </si>
  <si>
    <t>重点县建设规划</t>
  </si>
  <si>
    <t>牟定县合计</t>
  </si>
  <si>
    <t>五小水利工程</t>
  </si>
  <si>
    <t>十</t>
  </si>
  <si>
    <t>五小水利工程建设规划</t>
  </si>
  <si>
    <t>高效节水灌溉工程</t>
  </si>
  <si>
    <t>新建</t>
  </si>
  <si>
    <t>十一</t>
  </si>
  <si>
    <t>特色产业高效节水灌溉</t>
  </si>
  <si>
    <t>水土保持工程</t>
  </si>
  <si>
    <t>十二</t>
  </si>
  <si>
    <t>水土保持工程规划</t>
  </si>
  <si>
    <r>
      <t>规模指年取水量（万m</t>
    </r>
    <r>
      <rPr>
        <vertAlign val="superscript"/>
        <sz val="8"/>
        <color indexed="8"/>
        <rFont val="宋体"/>
        <family val="0"/>
      </rPr>
      <t>3</t>
    </r>
    <r>
      <rPr>
        <sz val="8"/>
        <color indexed="8"/>
        <rFont val="宋体"/>
        <family val="0"/>
      </rPr>
      <t>)</t>
    </r>
  </si>
  <si>
    <t>合县合计</t>
  </si>
  <si>
    <t>水源地保护工程</t>
  </si>
  <si>
    <t>十三</t>
  </si>
  <si>
    <t>水源地保护规划</t>
  </si>
  <si>
    <t>共和镇、安乐乡、戌街乡</t>
  </si>
  <si>
    <t>农村河道治理工程</t>
  </si>
  <si>
    <t>十四</t>
  </si>
  <si>
    <t>农村河道综合整治规划</t>
  </si>
  <si>
    <t>河闸新建、除险加固</t>
  </si>
  <si>
    <t>全县范围内新建、除险加固河闸18座，下游影响人口13.2941万人，耕地8.6万亩。实现新增和改善灌溉面积1.18万亩。</t>
  </si>
  <si>
    <t>全县合计</t>
  </si>
  <si>
    <t>全县5个乡镇范围内</t>
  </si>
  <si>
    <t>十五</t>
  </si>
  <si>
    <t>河闸新建、除险加固规划</t>
  </si>
  <si>
    <t>山洪沟治理</t>
  </si>
  <si>
    <t>全县范围内实施山洪沟治理工程34条，涉及流域面积1364.1平方公里，治理长度338.23公里，保护人口1.92万人，耕地2.46万亩，新建护岸及堤防463.1公里，沟道疏浚259.93公里。</t>
  </si>
  <si>
    <t>十六</t>
  </si>
  <si>
    <t>山洪沟灾害防治治理</t>
  </si>
  <si>
    <t>抗旱应急工程</t>
  </si>
  <si>
    <t>小二型水库</t>
  </si>
  <si>
    <t>十七</t>
  </si>
  <si>
    <t>抗旱应急工程规划</t>
  </si>
  <si>
    <t>乡镇水管站建设</t>
  </si>
  <si>
    <t>实水管站建设5个。</t>
  </si>
  <si>
    <t>共和镇、戌街乡、江坡镇、凤屯镇、蟠猫乡</t>
  </si>
  <si>
    <t>十八</t>
  </si>
  <si>
    <t>水务基层服务体系建设</t>
  </si>
  <si>
    <t>十九</t>
  </si>
  <si>
    <t>水利信息化建设</t>
  </si>
  <si>
    <t>凤屯</t>
  </si>
  <si>
    <t>101°22′-25°19′</t>
  </si>
  <si>
    <t>新建</t>
  </si>
  <si>
    <t>小古岩</t>
  </si>
  <si>
    <t>蟠猫乡</t>
  </si>
  <si>
    <t>101°35′-25°30′</t>
  </si>
  <si>
    <t>起家村</t>
  </si>
  <si>
    <t>101°34′-25°30′</t>
  </si>
  <si>
    <t>101°21′-25°17′</t>
  </si>
  <si>
    <t>河底村</t>
  </si>
  <si>
    <t>101°22′-25°16′</t>
  </si>
  <si>
    <t>黑家湾村</t>
  </si>
  <si>
    <t>凤屯镇</t>
  </si>
  <si>
    <t>101°20′-25°20′</t>
  </si>
  <si>
    <t>江坡镇</t>
  </si>
  <si>
    <t>101°21′-25°28′</t>
  </si>
  <si>
    <t>新建</t>
  </si>
  <si>
    <t>王家村</t>
  </si>
  <si>
    <t>101°29′-25°21′</t>
  </si>
  <si>
    <t>新建</t>
  </si>
  <si>
    <t>山脚村</t>
  </si>
  <si>
    <t>戌街乡</t>
  </si>
  <si>
    <t>101°40′-25°36′</t>
  </si>
  <si>
    <t>伏龙基</t>
  </si>
  <si>
    <t>101°33′-25°17′</t>
  </si>
  <si>
    <t>新建</t>
  </si>
  <si>
    <t>八道河</t>
  </si>
  <si>
    <t>101°37′-25°28′</t>
  </si>
  <si>
    <t>新建</t>
  </si>
  <si>
    <t>羊旧河</t>
  </si>
  <si>
    <t>安乐乡</t>
  </si>
  <si>
    <t>101°49′-25°30′</t>
  </si>
  <si>
    <t>羊旧河</t>
  </si>
  <si>
    <t>新建</t>
  </si>
  <si>
    <t>凹波罗</t>
  </si>
  <si>
    <t>共和镇</t>
  </si>
  <si>
    <t>101°27′-25°25′</t>
  </si>
  <si>
    <t>101°40′-25°33′</t>
  </si>
  <si>
    <t>新建</t>
  </si>
  <si>
    <t>101°29′-25°20′</t>
  </si>
  <si>
    <t>谢家</t>
  </si>
  <si>
    <t>101°37′-25°19′</t>
  </si>
  <si>
    <t>101°30′-25°13′</t>
  </si>
  <si>
    <t>101°39′-25°17′</t>
  </si>
  <si>
    <t>大力石</t>
  </si>
  <si>
    <t>101°45′-25°31′</t>
  </si>
  <si>
    <t>观音塘河力石流域</t>
  </si>
  <si>
    <t>下马厂</t>
  </si>
  <si>
    <t>新桥镇</t>
  </si>
  <si>
    <t>101°35′/25°20′</t>
  </si>
  <si>
    <t>冷水河小流域</t>
  </si>
  <si>
    <t>麦冲村</t>
  </si>
  <si>
    <t>101°36′/25°20′</t>
  </si>
  <si>
    <t>新桥村</t>
  </si>
  <si>
    <t>101°35′/25°21′</t>
  </si>
  <si>
    <t>张元冲</t>
  </si>
  <si>
    <t>101°37′/25°24′</t>
  </si>
  <si>
    <t>罗咀资</t>
  </si>
  <si>
    <t>101°36′/25°25′</t>
  </si>
  <si>
    <t>周家庄</t>
  </si>
  <si>
    <t>101°39′/25°20′</t>
  </si>
  <si>
    <t>兴隆村</t>
  </si>
  <si>
    <r>
      <t>101°40′/25°23′</t>
    </r>
  </si>
  <si>
    <t>大荒地</t>
  </si>
  <si>
    <r>
      <t>101°41′/25°22′</t>
    </r>
  </si>
  <si>
    <t>投资估算（万元）</t>
  </si>
  <si>
    <t>新建、除险加固</t>
  </si>
  <si>
    <t>楚雄州牟定县十三五水务规划汇总表</t>
  </si>
  <si>
    <t>3个年度为一批，十三五期间可争取一批。</t>
  </si>
  <si>
    <t>中小㈠型、小㈡型水库清淤99座。</t>
  </si>
  <si>
    <t>全县范围内实施水源地保护工程项目5个，水源地覆盖范围规划涉及人口17.56万人。</t>
  </si>
  <si>
    <r>
      <t>规模指年取水量（万m</t>
    </r>
    <r>
      <rPr>
        <vertAlign val="superscript"/>
        <sz val="8"/>
        <color indexed="8"/>
        <rFont val="宋体"/>
        <family val="0"/>
      </rPr>
      <t>3)</t>
    </r>
  </si>
  <si>
    <t>大蒙恩至盐柴河村河道治理</t>
  </si>
  <si>
    <t>冷水河</t>
  </si>
  <si>
    <t>长江流域</t>
  </si>
  <si>
    <t>大蒙恩至盐柴河村</t>
  </si>
  <si>
    <t>牟定县</t>
  </si>
  <si>
    <t>新桥镇</t>
  </si>
  <si>
    <t>杜家庄</t>
  </si>
  <si>
    <t>耕地</t>
  </si>
  <si>
    <t>桃苴河河道治理</t>
  </si>
  <si>
    <t>桃苴河</t>
  </si>
  <si>
    <t>桃苴</t>
  </si>
  <si>
    <t>戌街碗厂河河道治理</t>
  </si>
  <si>
    <t>勐岗河</t>
  </si>
  <si>
    <t>戌街碗厂河</t>
  </si>
  <si>
    <t>戌街乡</t>
  </si>
  <si>
    <t>戌街</t>
  </si>
  <si>
    <t>保护耕地及人口</t>
  </si>
  <si>
    <t>铁厂伏龙河</t>
  </si>
  <si>
    <t>铁厂</t>
  </si>
  <si>
    <t>老纳沙河河道治理</t>
  </si>
  <si>
    <t>老纳沙河</t>
  </si>
  <si>
    <t>老纳</t>
  </si>
  <si>
    <t>猛岗河牟定段河道治理</t>
  </si>
  <si>
    <t>碗厂</t>
  </si>
  <si>
    <t>海田河小水桥河河道治理</t>
  </si>
  <si>
    <t>海田河小水桥河</t>
  </si>
  <si>
    <t>左家大沙河河道治理</t>
  </si>
  <si>
    <t>啊兰河</t>
  </si>
  <si>
    <t>左家大沙河</t>
  </si>
  <si>
    <t>左家</t>
  </si>
  <si>
    <t>水桥左家白草地河河道治理</t>
  </si>
  <si>
    <t>马豆地河</t>
  </si>
  <si>
    <t>水桥左家白草地河</t>
  </si>
  <si>
    <t>水桥</t>
  </si>
  <si>
    <t>堂门前河河道治理</t>
  </si>
  <si>
    <t>观音塘河</t>
  </si>
  <si>
    <t>堂门前河</t>
  </si>
  <si>
    <t>白沙</t>
  </si>
  <si>
    <t>老纳代家坝小田至大平田小河治理</t>
  </si>
  <si>
    <t>大沙河</t>
  </si>
  <si>
    <t>老纳花园山小河综合治理</t>
  </si>
  <si>
    <t>花园山小河</t>
  </si>
  <si>
    <t>老纳园连箐至大沙河门口治理、小河治理</t>
  </si>
  <si>
    <t>园连箐至大沙河门口治理、小河</t>
  </si>
  <si>
    <r>
      <t>设计流量  (m</t>
    </r>
    <r>
      <rPr>
        <vertAlign val="superscript"/>
        <sz val="10"/>
        <rFont val="宋体"/>
        <family val="0"/>
      </rPr>
      <t>3</t>
    </r>
    <r>
      <rPr>
        <sz val="10"/>
        <rFont val="宋体"/>
        <family val="0"/>
      </rPr>
      <t>/s)</t>
    </r>
  </si>
  <si>
    <t>受影响乡镇、村庄及专业设施等</t>
  </si>
  <si>
    <t>人囗 (万人)</t>
  </si>
  <si>
    <r>
      <t>增加年供水量(万m</t>
    </r>
    <r>
      <rPr>
        <vertAlign val="superscript"/>
        <sz val="10"/>
        <rFont val="宋体"/>
        <family val="0"/>
      </rPr>
      <t>3</t>
    </r>
    <r>
      <rPr>
        <sz val="10"/>
        <rFont val="宋体"/>
        <family val="0"/>
      </rPr>
      <t>)</t>
    </r>
  </si>
  <si>
    <t>农田灌溉(万亩)</t>
  </si>
  <si>
    <t>解决人饮(万人)</t>
  </si>
  <si>
    <t>合计</t>
  </si>
  <si>
    <t>共和镇大河闸</t>
  </si>
  <si>
    <t>牟定县</t>
  </si>
  <si>
    <t>龙川河</t>
  </si>
  <si>
    <t>金沙江</t>
  </si>
  <si>
    <t>防洪、灌溉</t>
  </si>
  <si>
    <t>三类</t>
  </si>
  <si>
    <t>下游江坡镇</t>
  </si>
  <si>
    <t>设备老化</t>
  </si>
  <si>
    <t>更新维护</t>
  </si>
  <si>
    <t>共和镇万利闸</t>
  </si>
  <si>
    <t>小(2)型</t>
  </si>
  <si>
    <t>共和镇双树闸</t>
  </si>
  <si>
    <t>凤屯镇双沟坝水闸</t>
  </si>
  <si>
    <t>紫甸河</t>
  </si>
  <si>
    <t>下游凤屯镇</t>
  </si>
  <si>
    <t>安装机械启闭机</t>
  </si>
  <si>
    <t>凤屯镇张家坝水闸</t>
  </si>
  <si>
    <t>凤屯镇周坝水闸</t>
  </si>
  <si>
    <t>安乐乡大河闸</t>
  </si>
  <si>
    <t>猫街河</t>
  </si>
  <si>
    <t>安乐集镇及附近村庄</t>
  </si>
  <si>
    <t>闸门老化、无启闭设施</t>
  </si>
  <si>
    <t>更新闸门、增设启闭设施</t>
  </si>
  <si>
    <t>共和镇龙马池河闸</t>
  </si>
  <si>
    <t>共和镇城区及江坡镇部分</t>
  </si>
  <si>
    <t>江坡镇高平王家河闸</t>
  </si>
  <si>
    <t>牟定县</t>
  </si>
  <si>
    <t>龙川河</t>
  </si>
  <si>
    <t>金沙江</t>
  </si>
  <si>
    <t>防洪、灌溉</t>
  </si>
  <si>
    <t>三类</t>
  </si>
  <si>
    <t>下游江坡镇、妥安镇</t>
  </si>
  <si>
    <t>设备老化</t>
  </si>
  <si>
    <t>更新维护</t>
  </si>
  <si>
    <t>江坡镇杜家庄河闸</t>
  </si>
  <si>
    <t>小(2)型</t>
  </si>
  <si>
    <t>江坡镇沙罗镇河闸</t>
  </si>
  <si>
    <t>戌街找写闸</t>
  </si>
  <si>
    <t>小坝塘</t>
  </si>
  <si>
    <t>灌溉</t>
  </si>
  <si>
    <t>新建</t>
  </si>
  <si>
    <t>新村</t>
  </si>
  <si>
    <t>戌街洋豆田闸</t>
  </si>
  <si>
    <t>戌街马提米闸</t>
  </si>
  <si>
    <t>戌街西戈刀闸</t>
  </si>
  <si>
    <t>戌街达为闸</t>
  </si>
  <si>
    <t>戌街大麦田闸</t>
  </si>
  <si>
    <t>戌街栽别咋闸</t>
  </si>
  <si>
    <r>
      <t>小流域面积(km</t>
    </r>
    <r>
      <rPr>
        <b/>
        <vertAlign val="superscript"/>
        <sz val="10"/>
        <rFont val="宋体"/>
        <family val="0"/>
      </rPr>
      <t>2</t>
    </r>
    <r>
      <rPr>
        <b/>
        <sz val="10"/>
        <rFont val="宋体"/>
        <family val="0"/>
      </rPr>
      <t>)</t>
    </r>
  </si>
  <si>
    <r>
      <t>面积(km</t>
    </r>
    <r>
      <rPr>
        <b/>
        <vertAlign val="superscript"/>
        <sz val="10"/>
        <rFont val="宋体"/>
        <family val="0"/>
      </rPr>
      <t>2</t>
    </r>
    <r>
      <rPr>
        <b/>
        <sz val="10"/>
        <rFont val="宋体"/>
        <family val="0"/>
      </rPr>
      <t>)</t>
    </r>
  </si>
  <si>
    <r>
      <t>方量
(万m</t>
    </r>
    <r>
      <rPr>
        <b/>
        <vertAlign val="superscript"/>
        <sz val="10"/>
        <rFont val="宋体"/>
        <family val="0"/>
      </rPr>
      <t>3</t>
    </r>
    <r>
      <rPr>
        <b/>
        <sz val="10"/>
        <rFont val="宋体"/>
        <family val="0"/>
      </rPr>
      <t>)</t>
    </r>
  </si>
  <si>
    <t>凤屯</t>
  </si>
  <si>
    <t>牟定</t>
  </si>
  <si>
    <t>建新</t>
  </si>
  <si>
    <t>牟定</t>
  </si>
  <si>
    <t>凤屯镇</t>
  </si>
  <si>
    <t>黑家湾村</t>
  </si>
  <si>
    <t>牟定</t>
  </si>
  <si>
    <t>江坡镇</t>
  </si>
  <si>
    <t>高家</t>
  </si>
  <si>
    <t>戌街乡</t>
  </si>
  <si>
    <t>山脚村、下村</t>
  </si>
  <si>
    <t>牟定</t>
  </si>
  <si>
    <t>戌街乡</t>
  </si>
  <si>
    <t>伏龙基大村、小村</t>
  </si>
  <si>
    <t>八道河</t>
  </si>
  <si>
    <t>牟定</t>
  </si>
  <si>
    <t>江坡镇</t>
  </si>
  <si>
    <t>丰乐</t>
  </si>
  <si>
    <t>上下八道河</t>
  </si>
  <si>
    <t>羊旧河</t>
  </si>
  <si>
    <t>安乐乡</t>
  </si>
  <si>
    <t>羊旧</t>
  </si>
  <si>
    <t>共和镇</t>
  </si>
  <si>
    <t>中屯</t>
  </si>
  <si>
    <t>凹波罗</t>
  </si>
  <si>
    <t>高家</t>
  </si>
  <si>
    <t>牟定</t>
  </si>
  <si>
    <t>江坡镇</t>
  </si>
  <si>
    <t>柜山</t>
  </si>
  <si>
    <t>谢家</t>
  </si>
  <si>
    <t>牟定</t>
  </si>
  <si>
    <t>共和镇</t>
  </si>
  <si>
    <t>华星</t>
  </si>
  <si>
    <t>上谢、下谢</t>
  </si>
  <si>
    <t>丰乐</t>
  </si>
  <si>
    <t>牟定</t>
  </si>
  <si>
    <t>凤屯</t>
  </si>
  <si>
    <t>田丰</t>
  </si>
  <si>
    <t>有集中居民点、机关、学校</t>
  </si>
  <si>
    <t>新田河</t>
  </si>
  <si>
    <t>牟定</t>
  </si>
  <si>
    <t>安乐乡</t>
  </si>
  <si>
    <t>新田</t>
  </si>
  <si>
    <t>杨家、小力石、干田</t>
  </si>
  <si>
    <t>猫街河</t>
  </si>
  <si>
    <t>小屯</t>
  </si>
  <si>
    <t>冷水河小流域</t>
  </si>
  <si>
    <t>马厂山洪沟</t>
  </si>
  <si>
    <t>新桥镇</t>
  </si>
  <si>
    <t>马厂</t>
  </si>
  <si>
    <t>下马厂</t>
  </si>
  <si>
    <t>马厂村委会</t>
  </si>
  <si>
    <t>新桥1#山洪沟</t>
  </si>
  <si>
    <t>新桥</t>
  </si>
  <si>
    <t>清水河、大坡、水箐</t>
  </si>
  <si>
    <t>新桥2#山洪沟</t>
  </si>
  <si>
    <t>杨家山</t>
  </si>
  <si>
    <t>新桥杨家山</t>
  </si>
  <si>
    <t>长冲山洪沟</t>
  </si>
  <si>
    <t>长冲</t>
  </si>
  <si>
    <t>上、下长冲</t>
  </si>
  <si>
    <t>龙川河小流域</t>
  </si>
  <si>
    <t>官河山洪沟</t>
  </si>
  <si>
    <t>官河</t>
  </si>
  <si>
    <t>官村</t>
  </si>
  <si>
    <t>桃苴山洪沟</t>
  </si>
  <si>
    <t>桃苴</t>
  </si>
  <si>
    <t>秧田冲、老梅树</t>
  </si>
  <si>
    <t>顶头山洪沟</t>
  </si>
  <si>
    <t>顶头村</t>
  </si>
  <si>
    <t>顶头</t>
  </si>
  <si>
    <t>杜家庄1#山洪沟</t>
  </si>
  <si>
    <t>杜家庄</t>
  </si>
  <si>
    <t>杜家庄2#山洪沟</t>
  </si>
  <si>
    <t>长岭岗</t>
  </si>
  <si>
    <t>大蒙恩山洪沟</t>
  </si>
  <si>
    <t>大蒙恩</t>
  </si>
  <si>
    <t>生咀资</t>
  </si>
  <si>
    <t>猛岗河小流域</t>
  </si>
  <si>
    <t>小蒙恩山洪沟</t>
  </si>
  <si>
    <t>小蒙恩</t>
  </si>
  <si>
    <t>上村</t>
  </si>
  <si>
    <t>云龙山洪沟</t>
  </si>
  <si>
    <t>云龙</t>
  </si>
  <si>
    <t>陆家冲</t>
  </si>
  <si>
    <t>兴隆山洪沟</t>
  </si>
  <si>
    <t>兴隆</t>
  </si>
  <si>
    <t>兴隆村</t>
  </si>
  <si>
    <t>工程规模及水源类型</t>
  </si>
  <si>
    <t>水厂所在乡镇</t>
  </si>
  <si>
    <t>工程建设属性</t>
  </si>
  <si>
    <t>设计供水规模</t>
  </si>
  <si>
    <t>受益人口</t>
  </si>
  <si>
    <t>工程总投资</t>
  </si>
  <si>
    <t>其中，新增供水能力</t>
  </si>
  <si>
    <t>其中，新增受益人口</t>
  </si>
  <si>
    <t>水源
建设属性</t>
  </si>
  <si>
    <t>水厂</t>
  </si>
  <si>
    <t>输配水管网新建和改造</t>
  </si>
  <si>
    <t>其中，水源投资</t>
  </si>
  <si>
    <t>水厂投资</t>
  </si>
  <si>
    <t>管网投资</t>
  </si>
  <si>
    <t>水处理工艺</t>
  </si>
  <si>
    <t>水厂建设属性</t>
  </si>
  <si>
    <t>水厂占地是否增加</t>
  </si>
  <si>
    <t>是否改造水处理设施</t>
  </si>
  <si>
    <t>是否改造消毒设备</t>
  </si>
  <si>
    <t>是否改造供水泵站</t>
  </si>
  <si>
    <t>是否新建水质化验室</t>
  </si>
  <si>
    <t>是否进行信息化建设</t>
  </si>
  <si>
    <t>村头以上管道长度</t>
  </si>
  <si>
    <t>村内管道长度</t>
  </si>
  <si>
    <t>其中，改造长度</t>
  </si>
  <si>
    <t>新建/改造</t>
  </si>
  <si>
    <r>
      <t>m</t>
    </r>
    <r>
      <rPr>
        <vertAlign val="superscript"/>
        <sz val="10"/>
        <rFont val="仿宋_GB2312"/>
        <family val="3"/>
      </rPr>
      <t>3</t>
    </r>
    <r>
      <rPr>
        <sz val="10"/>
        <rFont val="仿宋_GB2312"/>
        <family val="3"/>
      </rPr>
      <t>/d</t>
    </r>
  </si>
  <si>
    <t>人</t>
  </si>
  <si>
    <t>是/否</t>
  </si>
  <si>
    <t>万元</t>
  </si>
  <si>
    <t>地表水</t>
  </si>
  <si>
    <t>否</t>
  </si>
  <si>
    <t>是</t>
  </si>
  <si>
    <t>地下水</t>
  </si>
  <si>
    <t>/</t>
  </si>
  <si>
    <t>共和镇合计</t>
  </si>
  <si>
    <t>改造</t>
  </si>
  <si>
    <t>孟家湾人饮</t>
  </si>
  <si>
    <t>新建</t>
  </si>
  <si>
    <t>注：1、第10项“水处理工艺”：仅消毒填写“1”、过滤+消毒填写“2”、常规（混凝、沉淀或澄清、过滤）+消毒填写“3”、一体化净水设备+消毒填写“4”、膜处理+消毒填写“5”、地下水除铁锰+消毒填写“6”、吸附法除氟+消毒填写“7”、其他填写“8”。
    2、第16项“是否新建水质化验室”：指千吨万人以上水厂建设具备日检9项以上水质检测能力的水厂化验室。非区域水质检测中心。
    3、第17项中，信息化建设：指对水厂和管网运行信息指标的实时采集、传输和管理，包括管理信息系统的软件和硬件建设。
    4、第25项“管网投资”含高位水池和加压泵站投资。</t>
  </si>
  <si>
    <t>附件1（20立方以上）</t>
  </si>
  <si>
    <t>附件2（20立方以下）</t>
  </si>
  <si>
    <t>新建工程</t>
  </si>
  <si>
    <t>改造工程</t>
  </si>
  <si>
    <t>新建工程名称</t>
  </si>
  <si>
    <t xml:space="preserve">投资       </t>
  </si>
  <si>
    <t>改造工程名称</t>
  </si>
  <si>
    <t>水源需改造的工程数量</t>
  </si>
  <si>
    <t>水处理需改造的工程数量</t>
  </si>
  <si>
    <t>消毒需改造的工程数量</t>
  </si>
  <si>
    <t>管网需改造的工程数量</t>
  </si>
  <si>
    <t>工程数量</t>
  </si>
  <si>
    <t>20m3/d以下集中供水工程</t>
  </si>
  <si>
    <t>20人以下分散供水工程</t>
  </si>
  <si>
    <t>井水</t>
  </si>
  <si>
    <t>泉水</t>
  </si>
  <si>
    <t>集雨</t>
  </si>
  <si>
    <t>注：第5项“改造供水工程数量”与第9、10、11、12项之间没有加和关系。</t>
  </si>
  <si>
    <t>新建供水工程</t>
  </si>
  <si>
    <t>“十三五”县级农村饮水能力建设需求</t>
  </si>
  <si>
    <t>“十三五”总投资</t>
  </si>
  <si>
    <t>2020年底全县农村供水总目标</t>
  </si>
  <si>
    <t>信息化建设投资</t>
  </si>
  <si>
    <t>应急供水能力投资</t>
  </si>
  <si>
    <t>水质化验中心投资</t>
  </si>
  <si>
    <t>水源保护投资</t>
  </si>
  <si>
    <t>覆盖          供水人口</t>
  </si>
  <si>
    <t>设计         供水规模</t>
  </si>
  <si>
    <t>%</t>
  </si>
  <si>
    <t>小计</t>
  </si>
  <si>
    <t>158</t>
  </si>
  <si>
    <t>全县20人以下分散供水工程</t>
  </si>
  <si>
    <t>注：1、2020年底全县农村供水总目标包括到2020年所有的农村供水工程达到的供水目标。
    2、第9项=第2、4、5、6、7、8项之和。</t>
  </si>
  <si>
    <t>确定</t>
  </si>
  <si>
    <t>确定</t>
  </si>
  <si>
    <t>直心坝水库</t>
  </si>
  <si>
    <t>安乐桃源坝水库</t>
  </si>
  <si>
    <t>力石沙田坝水库</t>
  </si>
  <si>
    <t>安源闸水库</t>
  </si>
  <si>
    <t>龙泉闸水库</t>
  </si>
  <si>
    <t>西河闸水库</t>
  </si>
  <si>
    <t>庆丰水库</t>
  </si>
  <si>
    <t>北山寺水库</t>
  </si>
  <si>
    <t>共和闸水库</t>
  </si>
  <si>
    <t>永丰水库</t>
  </si>
  <si>
    <t>龙丰水库</t>
  </si>
  <si>
    <t>东清水库</t>
  </si>
  <si>
    <t>裕丰闸</t>
  </si>
  <si>
    <t>小九龙水库</t>
  </si>
  <si>
    <t>普村元丰闸</t>
  </si>
  <si>
    <t>华源水库</t>
  </si>
  <si>
    <t>戌街红旗坝</t>
  </si>
  <si>
    <t>大黑箐坝</t>
  </si>
  <si>
    <t>大田河坝</t>
  </si>
  <si>
    <t>双河闸</t>
  </si>
  <si>
    <t>杨家坝</t>
  </si>
  <si>
    <t>王冲闸</t>
  </si>
  <si>
    <t>丰胜闸</t>
  </si>
  <si>
    <t>贾溪塘坝</t>
  </si>
  <si>
    <t>赵大坝</t>
  </si>
  <si>
    <t>卫星水库</t>
  </si>
  <si>
    <t>新桥红旗闸</t>
  </si>
  <si>
    <t>河丰闸</t>
  </si>
  <si>
    <t>万润水库</t>
  </si>
  <si>
    <t>安乐乡直苴行政村</t>
  </si>
  <si>
    <t>安乐乡桃源行政村</t>
  </si>
  <si>
    <t>安乐乡力石行政村</t>
  </si>
  <si>
    <t>安乐乡猫街行政村</t>
  </si>
  <si>
    <t>安乐乡河心行政村</t>
  </si>
  <si>
    <t>安乐乡石板行政村</t>
  </si>
  <si>
    <t>安乐乡小屯行政村</t>
  </si>
  <si>
    <t>安乐乡太极行政村</t>
  </si>
  <si>
    <t>凤屯镇飒马场村委会</t>
  </si>
  <si>
    <t>凤屯镇龙丰村委会</t>
  </si>
  <si>
    <t>凤屯镇田丰村委会</t>
  </si>
  <si>
    <t>凤屯镇牌坊村委会</t>
  </si>
  <si>
    <t>凤屯镇河节冲村委会</t>
  </si>
  <si>
    <t>共和镇庆丰村委会</t>
  </si>
  <si>
    <t>共和镇中屯村委会</t>
  </si>
  <si>
    <t>共和镇河梁村委会</t>
  </si>
  <si>
    <t>江坡镇民乐村委会</t>
  </si>
  <si>
    <t>共和镇永丰村委会</t>
  </si>
  <si>
    <t>共和镇散花村委会</t>
  </si>
  <si>
    <t>共和镇余丁村委会</t>
  </si>
  <si>
    <t>戌街乡伏龙基</t>
  </si>
  <si>
    <t>戌街乡老纳</t>
  </si>
  <si>
    <t>安乐乡小屯</t>
  </si>
  <si>
    <t>江坡镇高家行政村</t>
  </si>
  <si>
    <t>江坡镇和平行政村</t>
  </si>
  <si>
    <t>江坡镇江坡行政村</t>
  </si>
  <si>
    <t>民丰闸</t>
  </si>
  <si>
    <t>乐社闸</t>
  </si>
  <si>
    <t>白集冲水库</t>
  </si>
  <si>
    <t>大沟坝</t>
  </si>
  <si>
    <t>谷大坝</t>
  </si>
  <si>
    <t>丰裕闸</t>
  </si>
  <si>
    <t>北塔大坝</t>
  </si>
  <si>
    <t>新丰闸</t>
  </si>
  <si>
    <t>龙池大坝</t>
  </si>
  <si>
    <t>饮马塘坝</t>
  </si>
  <si>
    <t>顶丰坝</t>
  </si>
  <si>
    <t>工农水库</t>
  </si>
  <si>
    <t>新田坝</t>
  </si>
  <si>
    <t>杨河闸</t>
  </si>
  <si>
    <t>兴隆坝</t>
  </si>
  <si>
    <t>挂箐坝</t>
  </si>
  <si>
    <t>中屯水库</t>
  </si>
  <si>
    <t>大跃进水库</t>
  </si>
  <si>
    <t>老纳水库</t>
  </si>
  <si>
    <t>新民水库</t>
  </si>
  <si>
    <t>万斛塘坝</t>
  </si>
  <si>
    <t>沈屯闸</t>
  </si>
  <si>
    <t>西河坝</t>
  </si>
  <si>
    <t>和平元丰闸</t>
  </si>
  <si>
    <t>杨柳箐坝</t>
  </si>
  <si>
    <t>新闸</t>
  </si>
  <si>
    <t>万春闸</t>
  </si>
  <si>
    <t>大龙潭坝水库（安乐）</t>
  </si>
  <si>
    <t>石头河坝水库</t>
  </si>
  <si>
    <t>吉丰闸水库</t>
  </si>
  <si>
    <t>团山坝水库</t>
  </si>
  <si>
    <t>大龙潭水库（凤屯）</t>
  </si>
  <si>
    <t>三龙闸</t>
  </si>
  <si>
    <t>青龙闸</t>
  </si>
  <si>
    <t>武家箐</t>
  </si>
  <si>
    <t>云龙闸</t>
  </si>
  <si>
    <t>陡石岩坝</t>
  </si>
  <si>
    <t>罗旗屯小新坝</t>
  </si>
  <si>
    <t>代冲杨家坝</t>
  </si>
  <si>
    <t>七丰闸</t>
  </si>
  <si>
    <t>和丰闸</t>
  </si>
  <si>
    <t>先锋水库</t>
  </si>
  <si>
    <t>大新田坝</t>
  </si>
  <si>
    <t>打汞箐坝</t>
  </si>
  <si>
    <t>半冲坝</t>
  </si>
  <si>
    <t>反修坝</t>
  </si>
  <si>
    <t>长丰闸</t>
  </si>
  <si>
    <t>小（二）型</t>
  </si>
  <si>
    <t>中型</t>
  </si>
  <si>
    <t>小（一）型</t>
  </si>
  <si>
    <t>小黑箐水库</t>
  </si>
  <si>
    <t>王伍冲坝水库</t>
  </si>
  <si>
    <t>莲花闸水库</t>
  </si>
  <si>
    <t>年丰闸水库</t>
  </si>
  <si>
    <t>小跃进水库</t>
  </si>
  <si>
    <t>戌街乡碗厂村委会</t>
  </si>
  <si>
    <t>戌街乡白沙村委会</t>
  </si>
  <si>
    <t>戌街乡作家村委会</t>
  </si>
  <si>
    <t>蟠猫乡碑厅村委会新村</t>
  </si>
  <si>
    <t>清波居委会</t>
  </si>
  <si>
    <t>1976</t>
  </si>
  <si>
    <t>军屯村委会</t>
  </si>
  <si>
    <t>新桥镇马厂村委会</t>
  </si>
  <si>
    <t>团结坝（江坡）</t>
  </si>
  <si>
    <t>桃园坝水库（蟠猫）</t>
  </si>
  <si>
    <t>蟠猫乡古岩村委会大古岩村</t>
  </si>
  <si>
    <t>团结坝（共和）</t>
  </si>
  <si>
    <t>新桥镇长冲村委会</t>
  </si>
  <si>
    <t>新桥镇新桥村委会</t>
  </si>
  <si>
    <t>新桥镇冷水村委会</t>
  </si>
  <si>
    <t>新桥镇云龙村委会</t>
  </si>
  <si>
    <t>新桥镇兴隆村委会</t>
  </si>
  <si>
    <t>1958</t>
  </si>
  <si>
    <t>江坡镇柜山行政村</t>
  </si>
  <si>
    <t>江坡镇龙排行政村</t>
  </si>
  <si>
    <t>团结坝水库（安乐）</t>
  </si>
  <si>
    <t>江坡新闸（乐利冲）</t>
  </si>
  <si>
    <t>江坡镇米村行政村</t>
  </si>
  <si>
    <t>江坡乐利冲行政村</t>
  </si>
  <si>
    <t>蟠猫乡双龙村委会孟家湾村</t>
  </si>
  <si>
    <t>蟠猫乡蟠猫村委会母鲁打村</t>
  </si>
  <si>
    <t>周山村委会</t>
  </si>
  <si>
    <t>余丁村委会</t>
  </si>
  <si>
    <t>庆丰村委会</t>
  </si>
  <si>
    <t>华星村委会</t>
  </si>
  <si>
    <t>散花村委会</t>
  </si>
  <si>
    <t>1956</t>
  </si>
  <si>
    <t>2006</t>
  </si>
  <si>
    <t>新桥镇小蒙恩村委会</t>
  </si>
  <si>
    <t>中沟坝（新桥）</t>
  </si>
  <si>
    <t>1970</t>
  </si>
  <si>
    <t>1967</t>
  </si>
  <si>
    <t>1984</t>
  </si>
  <si>
    <t>1959</t>
  </si>
  <si>
    <t>1966</t>
  </si>
  <si>
    <t>1982</t>
  </si>
  <si>
    <t>1995</t>
  </si>
  <si>
    <t>1985</t>
  </si>
  <si>
    <t>1964</t>
  </si>
  <si>
    <t>江坡镇高平行政村</t>
  </si>
  <si>
    <t>江坡镇普村行政村</t>
  </si>
  <si>
    <t>1972</t>
  </si>
  <si>
    <t>戌街乡戌街村委会</t>
  </si>
  <si>
    <t>1969</t>
  </si>
  <si>
    <t>1958</t>
  </si>
  <si>
    <t>1983</t>
  </si>
  <si>
    <t>1942</t>
  </si>
  <si>
    <t>2000</t>
  </si>
  <si>
    <t>新桥镇杜家庄村委会</t>
  </si>
  <si>
    <t>新桥镇官河村委会</t>
  </si>
  <si>
    <t>新桥镇桃苴村委会</t>
  </si>
  <si>
    <t>江坡镇丰乐行政村</t>
  </si>
  <si>
    <t>戌街乡左家村委会</t>
  </si>
  <si>
    <t>金马居委会</t>
  </si>
  <si>
    <t>新桥镇大蒙恩村委会</t>
  </si>
  <si>
    <t>新桥镇有家村委会</t>
  </si>
  <si>
    <t>面积（万亩）</t>
  </si>
  <si>
    <t>茅阳</t>
  </si>
  <si>
    <t>中屯</t>
  </si>
  <si>
    <t>新增灌溉面积（万亩）</t>
  </si>
  <si>
    <t>改善灌溉面积（万亩）</t>
  </si>
  <si>
    <t>清河</t>
  </si>
  <si>
    <t>天台</t>
  </si>
  <si>
    <t>柳丰</t>
  </si>
  <si>
    <t>余新</t>
  </si>
  <si>
    <t>何梁</t>
  </si>
  <si>
    <t>余丁</t>
  </si>
  <si>
    <t>军屯</t>
  </si>
  <si>
    <t>庆丰</t>
  </si>
  <si>
    <t>共丰</t>
  </si>
  <si>
    <t>天山</t>
  </si>
  <si>
    <t>金马</t>
  </si>
  <si>
    <t>清波</t>
  </si>
  <si>
    <t>平屯</t>
  </si>
  <si>
    <t>牟尼</t>
  </si>
  <si>
    <t>兴和</t>
  </si>
  <si>
    <t>新甸</t>
  </si>
  <si>
    <t>代冲</t>
  </si>
  <si>
    <t>散花</t>
  </si>
  <si>
    <t>周山</t>
  </si>
  <si>
    <t>际盛</t>
  </si>
  <si>
    <t>龙池</t>
  </si>
  <si>
    <t>碑厅</t>
  </si>
  <si>
    <t>蟠猫</t>
  </si>
  <si>
    <t>朵苴</t>
  </si>
  <si>
    <t>古岩</t>
  </si>
  <si>
    <t>双龙</t>
  </si>
  <si>
    <t>龙泉</t>
  </si>
  <si>
    <t>联丰</t>
  </si>
  <si>
    <t>大跃进水库</t>
  </si>
  <si>
    <t>北山寺水库</t>
  </si>
  <si>
    <t>东清水库</t>
  </si>
  <si>
    <t>共和水库</t>
  </si>
  <si>
    <t>红豆树水库</t>
  </si>
  <si>
    <t>老纳水库</t>
  </si>
  <si>
    <t>龙丰水库</t>
  </si>
  <si>
    <t>新民水库</t>
  </si>
  <si>
    <t>永丰水库</t>
  </si>
  <si>
    <t>福龙水库</t>
  </si>
  <si>
    <t>双龙闸水库</t>
  </si>
  <si>
    <t>中屯水库</t>
  </si>
  <si>
    <t>庆丰水库</t>
  </si>
  <si>
    <t>龙虎水库</t>
  </si>
  <si>
    <t>中峰水库</t>
  </si>
  <si>
    <t>丰乐水库</t>
  </si>
  <si>
    <t>共和镇</t>
  </si>
  <si>
    <t>可视信息传输系统</t>
  </si>
  <si>
    <t>江坡镇</t>
  </si>
  <si>
    <t>戌街乡</t>
  </si>
  <si>
    <t>安乐乡</t>
  </si>
  <si>
    <t>牟定县“十三五”水源工程—小㈡型水库建设规划表</t>
  </si>
  <si>
    <r>
      <rPr>
        <sz val="10"/>
        <rFont val="宋体"/>
        <family val="0"/>
      </rPr>
      <t>序号</t>
    </r>
  </si>
  <si>
    <r>
      <rPr>
        <sz val="10"/>
        <rFont val="宋体"/>
        <family val="0"/>
      </rPr>
      <t>水库名称</t>
    </r>
  </si>
  <si>
    <t>州市</t>
  </si>
  <si>
    <r>
      <rPr>
        <sz val="10"/>
        <rFont val="宋体"/>
        <family val="0"/>
      </rPr>
      <t>县（市、区）</t>
    </r>
  </si>
  <si>
    <r>
      <rPr>
        <sz val="10"/>
        <rFont val="宋体"/>
        <family val="0"/>
      </rPr>
      <t>所在水系</t>
    </r>
  </si>
  <si>
    <r>
      <rPr>
        <sz val="10"/>
        <rFont val="宋体"/>
        <family val="0"/>
      </rPr>
      <t>所在河流</t>
    </r>
  </si>
  <si>
    <r>
      <rPr>
        <sz val="10"/>
        <rFont val="宋体"/>
        <family val="0"/>
      </rPr>
      <t>坝址处控制流域面积（</t>
    </r>
    <r>
      <rPr>
        <sz val="10"/>
        <rFont val="Times New Roman"/>
        <family val="1"/>
      </rPr>
      <t>km</t>
    </r>
    <r>
      <rPr>
        <vertAlign val="superscript"/>
        <sz val="10"/>
        <rFont val="Times New Roman"/>
        <family val="1"/>
      </rPr>
      <t>2</t>
    </r>
    <r>
      <rPr>
        <sz val="10"/>
        <rFont val="宋体"/>
        <family val="0"/>
      </rPr>
      <t>）</t>
    </r>
  </si>
  <si>
    <r>
      <rPr>
        <sz val="10"/>
        <rFont val="宋体"/>
        <family val="0"/>
      </rPr>
      <t>坝址处多年平均径流量</t>
    </r>
    <r>
      <rPr>
        <sz val="10"/>
        <rFont val="Times New Roman"/>
        <family val="1"/>
      </rPr>
      <t>(</t>
    </r>
    <r>
      <rPr>
        <sz val="10"/>
        <rFont val="宋体"/>
        <family val="0"/>
      </rPr>
      <t>万</t>
    </r>
    <r>
      <rPr>
        <sz val="10"/>
        <rFont val="Times New Roman"/>
        <family val="1"/>
      </rPr>
      <t>m3)</t>
    </r>
  </si>
  <si>
    <r>
      <rPr>
        <sz val="10"/>
        <rFont val="宋体"/>
        <family val="0"/>
      </rPr>
      <t>位置坐标</t>
    </r>
  </si>
  <si>
    <r>
      <rPr>
        <sz val="10"/>
        <rFont val="宋体"/>
        <family val="0"/>
      </rPr>
      <t>规划依据</t>
    </r>
  </si>
  <si>
    <r>
      <rPr>
        <sz val="10"/>
        <rFont val="宋体"/>
        <family val="0"/>
      </rPr>
      <t>计划开工年份</t>
    </r>
  </si>
  <si>
    <r>
      <rPr>
        <sz val="10"/>
        <rFont val="宋体"/>
        <family val="0"/>
      </rPr>
      <t>前期工作</t>
    </r>
  </si>
  <si>
    <r>
      <rPr>
        <sz val="10"/>
        <rFont val="宋体"/>
        <family val="0"/>
      </rPr>
      <t>坝型</t>
    </r>
  </si>
  <si>
    <r>
      <rPr>
        <sz val="10"/>
        <rFont val="宋体"/>
        <family val="0"/>
      </rPr>
      <t>工程规模</t>
    </r>
  </si>
  <si>
    <r>
      <rPr>
        <sz val="10"/>
        <rFont val="宋体"/>
        <family val="0"/>
      </rPr>
      <t>骨干配套工程</t>
    </r>
  </si>
  <si>
    <r>
      <rPr>
        <sz val="10"/>
        <rFont val="宋体"/>
        <family val="0"/>
      </rPr>
      <t>工程效益</t>
    </r>
  </si>
  <si>
    <r>
      <rPr>
        <sz val="10"/>
        <rFont val="宋体"/>
        <family val="0"/>
      </rPr>
      <t>总投资</t>
    </r>
    <r>
      <rPr>
        <sz val="10"/>
        <rFont val="Times New Roman"/>
        <family val="1"/>
      </rPr>
      <t>(</t>
    </r>
    <r>
      <rPr>
        <sz val="10"/>
        <rFont val="宋体"/>
        <family val="0"/>
      </rPr>
      <t>万元</t>
    </r>
    <r>
      <rPr>
        <sz val="10"/>
        <rFont val="Times New Roman"/>
        <family val="1"/>
      </rPr>
      <t>)</t>
    </r>
  </si>
  <si>
    <r>
      <rPr>
        <sz val="10"/>
        <rFont val="宋体"/>
        <family val="0"/>
      </rPr>
      <t>单位库容投资（元</t>
    </r>
    <r>
      <rPr>
        <sz val="10"/>
        <rFont val="Times New Roman"/>
        <family val="1"/>
      </rPr>
      <t>/m</t>
    </r>
    <r>
      <rPr>
        <vertAlign val="superscript"/>
        <sz val="10"/>
        <rFont val="Times New Roman"/>
        <family val="1"/>
      </rPr>
      <t>3</t>
    </r>
    <r>
      <rPr>
        <sz val="10"/>
        <rFont val="宋体"/>
        <family val="0"/>
      </rPr>
      <t>）</t>
    </r>
  </si>
  <si>
    <r>
      <rPr>
        <sz val="10"/>
        <rFont val="宋体"/>
        <family val="0"/>
      </rPr>
      <t>单位水方投资（元</t>
    </r>
    <r>
      <rPr>
        <sz val="10"/>
        <rFont val="Times New Roman"/>
        <family val="1"/>
      </rPr>
      <t>/m</t>
    </r>
    <r>
      <rPr>
        <vertAlign val="superscript"/>
        <sz val="10"/>
        <rFont val="Times New Roman"/>
        <family val="1"/>
      </rPr>
      <t>3</t>
    </r>
    <r>
      <rPr>
        <sz val="10"/>
        <rFont val="宋体"/>
        <family val="0"/>
      </rPr>
      <t>）</t>
    </r>
  </si>
  <si>
    <r>
      <rPr>
        <sz val="10"/>
        <rFont val="宋体"/>
        <family val="0"/>
      </rPr>
      <t>淹没占地指标</t>
    </r>
  </si>
  <si>
    <r>
      <rPr>
        <sz val="10"/>
        <rFont val="宋体"/>
        <family val="0"/>
      </rPr>
      <t>东经（度分秒）</t>
    </r>
  </si>
  <si>
    <r>
      <rPr>
        <sz val="10"/>
        <rFont val="宋体"/>
        <family val="0"/>
      </rPr>
      <t>北纬（度分秒）</t>
    </r>
  </si>
  <si>
    <r>
      <rPr>
        <sz val="10"/>
        <rFont val="宋体"/>
        <family val="0"/>
      </rPr>
      <t>工作阶段</t>
    </r>
  </si>
  <si>
    <r>
      <rPr>
        <sz val="10"/>
        <rFont val="宋体"/>
        <family val="0"/>
      </rPr>
      <t>进展情况</t>
    </r>
  </si>
  <si>
    <r>
      <rPr>
        <sz val="10"/>
        <rFont val="宋体"/>
        <family val="0"/>
      </rPr>
      <t>总库容（万</t>
    </r>
    <r>
      <rPr>
        <sz val="10"/>
        <rFont val="Times New Roman"/>
        <family val="1"/>
      </rPr>
      <t>m</t>
    </r>
    <r>
      <rPr>
        <vertAlign val="superscript"/>
        <sz val="10"/>
        <rFont val="Times New Roman"/>
        <family val="1"/>
      </rPr>
      <t>3</t>
    </r>
    <r>
      <rPr>
        <sz val="10"/>
        <rFont val="宋体"/>
        <family val="0"/>
      </rPr>
      <t>）</t>
    </r>
  </si>
  <si>
    <r>
      <rPr>
        <sz val="10"/>
        <rFont val="宋体"/>
        <family val="0"/>
      </rPr>
      <t>兴利库容（万</t>
    </r>
    <r>
      <rPr>
        <sz val="10"/>
        <rFont val="Times New Roman"/>
        <family val="1"/>
      </rPr>
      <t>m</t>
    </r>
    <r>
      <rPr>
        <vertAlign val="superscript"/>
        <sz val="10"/>
        <rFont val="Times New Roman"/>
        <family val="1"/>
      </rPr>
      <t>3</t>
    </r>
    <r>
      <rPr>
        <sz val="10"/>
        <rFont val="宋体"/>
        <family val="0"/>
      </rPr>
      <t>）</t>
    </r>
  </si>
  <si>
    <r>
      <rPr>
        <sz val="10"/>
        <rFont val="宋体"/>
        <family val="0"/>
      </rPr>
      <t>死库容（万</t>
    </r>
    <r>
      <rPr>
        <sz val="10"/>
        <rFont val="Times New Roman"/>
        <family val="1"/>
      </rPr>
      <t>m</t>
    </r>
    <r>
      <rPr>
        <vertAlign val="superscript"/>
        <sz val="10"/>
        <rFont val="Times New Roman"/>
        <family val="1"/>
      </rPr>
      <t>3</t>
    </r>
    <r>
      <rPr>
        <sz val="10"/>
        <rFont val="宋体"/>
        <family val="0"/>
      </rPr>
      <t>）</t>
    </r>
  </si>
  <si>
    <r>
      <rPr>
        <sz val="10"/>
        <rFont val="宋体"/>
        <family val="0"/>
      </rPr>
      <t>防洪库容（万</t>
    </r>
    <r>
      <rPr>
        <sz val="10"/>
        <rFont val="Times New Roman"/>
        <family val="1"/>
      </rPr>
      <t>m</t>
    </r>
    <r>
      <rPr>
        <vertAlign val="superscript"/>
        <sz val="10"/>
        <rFont val="Times New Roman"/>
        <family val="1"/>
      </rPr>
      <t>3</t>
    </r>
    <r>
      <rPr>
        <sz val="10"/>
        <rFont val="宋体"/>
        <family val="0"/>
      </rPr>
      <t>）</t>
    </r>
  </si>
  <si>
    <r>
      <rPr>
        <sz val="10"/>
        <rFont val="宋体"/>
        <family val="0"/>
      </rPr>
      <t>灌溉渠道</t>
    </r>
  </si>
  <si>
    <r>
      <rPr>
        <sz val="10"/>
        <rFont val="宋体"/>
        <family val="0"/>
      </rPr>
      <t>人饮供水管道</t>
    </r>
  </si>
  <si>
    <t>供水量（万m3）</t>
  </si>
  <si>
    <r>
      <rPr>
        <sz val="10"/>
        <rFont val="宋体"/>
        <family val="0"/>
      </rPr>
      <t>城镇供水</t>
    </r>
  </si>
  <si>
    <r>
      <rPr>
        <sz val="10"/>
        <rFont val="宋体"/>
        <family val="0"/>
      </rPr>
      <t>农村人饮</t>
    </r>
  </si>
  <si>
    <r>
      <rPr>
        <sz val="10"/>
        <rFont val="宋体"/>
        <family val="0"/>
      </rPr>
      <t>灌溉</t>
    </r>
  </si>
  <si>
    <r>
      <rPr>
        <sz val="10"/>
        <rFont val="宋体"/>
        <family val="0"/>
      </rPr>
      <t>防洪保护</t>
    </r>
  </si>
  <si>
    <r>
      <rPr>
        <sz val="10"/>
        <rFont val="宋体"/>
        <family val="0"/>
      </rPr>
      <t>人口（人）</t>
    </r>
  </si>
  <si>
    <r>
      <rPr>
        <sz val="10"/>
        <rFont val="宋体"/>
        <family val="0"/>
      </rPr>
      <t>房屋（</t>
    </r>
    <r>
      <rPr>
        <sz val="10"/>
        <rFont val="Times New Roman"/>
        <family val="1"/>
      </rPr>
      <t>m</t>
    </r>
    <r>
      <rPr>
        <vertAlign val="superscript"/>
        <sz val="10"/>
        <rFont val="Times New Roman"/>
        <family val="1"/>
      </rPr>
      <t>2</t>
    </r>
    <r>
      <rPr>
        <sz val="10"/>
        <rFont val="宋体"/>
        <family val="0"/>
      </rPr>
      <t>）</t>
    </r>
  </si>
  <si>
    <r>
      <rPr>
        <sz val="10"/>
        <rFont val="宋体"/>
        <family val="0"/>
      </rPr>
      <t>耕地（亩）</t>
    </r>
  </si>
  <si>
    <r>
      <rPr>
        <sz val="10"/>
        <rFont val="宋体"/>
        <family val="0"/>
      </rPr>
      <t>园地（亩）</t>
    </r>
  </si>
  <si>
    <r>
      <rPr>
        <sz val="10"/>
        <rFont val="宋体"/>
        <family val="0"/>
      </rPr>
      <t>林地（亩）</t>
    </r>
  </si>
  <si>
    <r>
      <rPr>
        <sz val="10"/>
        <rFont val="宋体"/>
        <family val="0"/>
      </rPr>
      <t>其它（亩）</t>
    </r>
  </si>
  <si>
    <r>
      <rPr>
        <sz val="10"/>
        <rFont val="宋体"/>
        <family val="0"/>
      </rPr>
      <t>干渠长度（</t>
    </r>
    <r>
      <rPr>
        <sz val="10"/>
        <rFont val="Times New Roman"/>
        <family val="1"/>
      </rPr>
      <t>km</t>
    </r>
    <r>
      <rPr>
        <sz val="10"/>
        <rFont val="宋体"/>
        <family val="0"/>
      </rPr>
      <t>）</t>
    </r>
  </si>
  <si>
    <r>
      <rPr>
        <sz val="10"/>
        <rFont val="宋体"/>
        <family val="0"/>
      </rPr>
      <t>设计流量（</t>
    </r>
    <r>
      <rPr>
        <sz val="10"/>
        <rFont val="Times New Roman"/>
        <family val="1"/>
      </rPr>
      <t>m</t>
    </r>
    <r>
      <rPr>
        <vertAlign val="superscript"/>
        <sz val="10"/>
        <rFont val="Times New Roman"/>
        <family val="1"/>
      </rPr>
      <t>3</t>
    </r>
    <r>
      <rPr>
        <sz val="10"/>
        <rFont val="Times New Roman"/>
        <family val="1"/>
      </rPr>
      <t>/s</t>
    </r>
    <r>
      <rPr>
        <sz val="10"/>
        <rFont val="宋体"/>
        <family val="0"/>
      </rPr>
      <t>）</t>
    </r>
  </si>
  <si>
    <r>
      <rPr>
        <sz val="10"/>
        <rFont val="宋体"/>
        <family val="0"/>
      </rPr>
      <t>干网长度（</t>
    </r>
    <r>
      <rPr>
        <sz val="10"/>
        <rFont val="Times New Roman"/>
        <family val="1"/>
      </rPr>
      <t>km</t>
    </r>
    <r>
      <rPr>
        <sz val="10"/>
        <rFont val="宋体"/>
        <family val="0"/>
      </rPr>
      <t>）</t>
    </r>
  </si>
  <si>
    <r>
      <rPr>
        <sz val="10"/>
        <rFont val="宋体"/>
        <family val="0"/>
      </rPr>
      <t>供水规模（</t>
    </r>
    <r>
      <rPr>
        <sz val="10"/>
        <rFont val="Times New Roman"/>
        <family val="1"/>
      </rPr>
      <t>m</t>
    </r>
    <r>
      <rPr>
        <vertAlign val="superscript"/>
        <sz val="10"/>
        <rFont val="Times New Roman"/>
        <family val="1"/>
      </rPr>
      <t>3</t>
    </r>
    <r>
      <rPr>
        <sz val="10"/>
        <rFont val="Times New Roman"/>
        <family val="1"/>
      </rPr>
      <t>/d</t>
    </r>
    <r>
      <rPr>
        <sz val="10"/>
        <rFont val="宋体"/>
        <family val="0"/>
      </rPr>
      <t>）</t>
    </r>
  </si>
  <si>
    <r>
      <rPr>
        <sz val="10"/>
        <rFont val="宋体"/>
        <family val="0"/>
      </rPr>
      <t>城镇名称</t>
    </r>
  </si>
  <si>
    <r>
      <rPr>
        <sz val="10"/>
        <rFont val="宋体"/>
        <family val="0"/>
      </rPr>
      <t>村寨名称</t>
    </r>
  </si>
  <si>
    <r>
      <rPr>
        <sz val="10"/>
        <rFont val="宋体"/>
        <family val="0"/>
      </rPr>
      <t>搬迁</t>
    </r>
  </si>
  <si>
    <r>
      <rPr>
        <sz val="10"/>
        <rFont val="宋体"/>
        <family val="0"/>
      </rPr>
      <t>生产安置</t>
    </r>
  </si>
  <si>
    <r>
      <rPr>
        <sz val="10"/>
        <rFont val="宋体"/>
        <family val="0"/>
      </rPr>
      <t>水田</t>
    </r>
  </si>
  <si>
    <r>
      <rPr>
        <sz val="10"/>
        <rFont val="宋体"/>
        <family val="0"/>
      </rPr>
      <t>旱地</t>
    </r>
  </si>
  <si>
    <r>
      <rPr>
        <sz val="10"/>
        <rFont val="宋体"/>
        <family val="0"/>
      </rPr>
      <t>庆丰中沟水库</t>
    </r>
  </si>
  <si>
    <t>牟定县</t>
  </si>
  <si>
    <t>长江</t>
  </si>
  <si>
    <r>
      <rPr>
        <sz val="10"/>
        <rFont val="宋体"/>
        <family val="0"/>
      </rPr>
      <t>龙川江支流龙川河</t>
    </r>
  </si>
  <si>
    <t>共和镇庆丰村</t>
  </si>
  <si>
    <t>2016-2020</t>
  </si>
  <si>
    <t>三道阱水库</t>
  </si>
  <si>
    <t>龙川河</t>
  </si>
  <si>
    <t>老虎洞水库</t>
  </si>
  <si>
    <t>江坡镇龙排村</t>
  </si>
  <si>
    <t>新村河水库</t>
  </si>
  <si>
    <t>新村河</t>
  </si>
  <si>
    <t>安乐乡新村村子下</t>
  </si>
  <si>
    <t>新村、大、小民太</t>
  </si>
  <si>
    <t>老厂水库</t>
  </si>
  <si>
    <t>猛岗河</t>
  </si>
  <si>
    <t>戌街乡碗厂</t>
  </si>
  <si>
    <t>箐头村</t>
  </si>
  <si>
    <t>庄子水库</t>
  </si>
  <si>
    <t>长江</t>
  </si>
  <si>
    <t>龙川河</t>
  </si>
  <si>
    <t>江坡镇外庄村</t>
  </si>
  <si>
    <t>2016-2020</t>
  </si>
  <si>
    <t>水秧田水库</t>
  </si>
  <si>
    <t>凤屯镇河节冲村</t>
  </si>
  <si>
    <t>均质土坝</t>
  </si>
  <si>
    <t>牟定县</t>
  </si>
  <si>
    <t>共和镇华星村委会</t>
  </si>
  <si>
    <t>牟定县水资源综合利用规划</t>
  </si>
  <si>
    <t>2016-2020</t>
  </si>
  <si>
    <t>泉丰水库</t>
  </si>
  <si>
    <t>蟠猫乡龙泉村委会普王村</t>
  </si>
  <si>
    <t>普王村</t>
  </si>
  <si>
    <t>伍庄水库</t>
  </si>
  <si>
    <t>凤屯镇田丰村委会伍庄村</t>
  </si>
  <si>
    <t>散花村委会罗旗屯村</t>
  </si>
  <si>
    <r>
      <t>罗旗屯</t>
    </r>
    <r>
      <rPr>
        <sz val="10"/>
        <rFont val="Times New Roman"/>
        <family val="1"/>
      </rPr>
      <t>5</t>
    </r>
    <r>
      <rPr>
        <sz val="10"/>
        <rFont val="宋体"/>
        <family val="0"/>
      </rPr>
      <t>个村民小组</t>
    </r>
  </si>
  <si>
    <t>大蒙恩中沟水库</t>
  </si>
  <si>
    <t>新桥镇大蒙恩代家咀</t>
  </si>
  <si>
    <t>未审核</t>
  </si>
  <si>
    <t>规划报告</t>
  </si>
  <si>
    <t>代家咀</t>
  </si>
  <si>
    <t>顶峰水库</t>
  </si>
  <si>
    <t>新桥镇顶头箐头村</t>
  </si>
  <si>
    <t>力石团山水库</t>
  </si>
  <si>
    <t>安乐乡小团山村后</t>
  </si>
  <si>
    <t>牟定县水资源综合利用规划</t>
  </si>
  <si>
    <t>2016-2020</t>
  </si>
  <si>
    <t>太极团山水库</t>
  </si>
  <si>
    <t>安乐乡何家村头</t>
  </si>
  <si>
    <t>石灰窑水库</t>
  </si>
  <si>
    <t>龙川江支流冷水河</t>
  </si>
  <si>
    <t>新桥村委会</t>
  </si>
  <si>
    <t>牟定县水资源综合利用规划</t>
  </si>
  <si>
    <t>远期储备</t>
  </si>
  <si>
    <t>工农水库</t>
  </si>
  <si>
    <t>新桥村委会</t>
  </si>
  <si>
    <t>飒马场</t>
  </si>
  <si>
    <t>龙丰</t>
  </si>
  <si>
    <t>田丰</t>
  </si>
  <si>
    <t>牌坊</t>
  </si>
  <si>
    <t>河节冲</t>
  </si>
  <si>
    <t>凤屯</t>
  </si>
  <si>
    <t>建新</t>
  </si>
  <si>
    <t>新房</t>
  </si>
  <si>
    <t>腊湾</t>
  </si>
  <si>
    <t>2017-2018</t>
  </si>
  <si>
    <t>飒马场小流域</t>
  </si>
  <si>
    <t>牟定县</t>
  </si>
  <si>
    <t>2018-2019</t>
  </si>
  <si>
    <t>凤屯飒马场集镇供水工程</t>
  </si>
  <si>
    <t>新桥供水站矿区供水管网改造</t>
  </si>
  <si>
    <t>牟定县“十三五”农村饮水提质增效规划总表</t>
  </si>
  <si>
    <t>乡镇名称</t>
  </si>
  <si>
    <t>改造供水工程</t>
  </si>
  <si>
    <t>供水保证率≥95%的工程数量</t>
  </si>
  <si>
    <t>水处理及消毒设施(措施)完善的工程数量</t>
  </si>
  <si>
    <t>集中供水率</t>
  </si>
  <si>
    <t>自来水普及率</t>
  </si>
  <si>
    <t>水质达标率</t>
  </si>
  <si>
    <r>
      <t>m</t>
    </r>
    <r>
      <rPr>
        <vertAlign val="superscript"/>
        <sz val="10"/>
        <rFont val="宋体"/>
        <family val="0"/>
      </rPr>
      <t>3</t>
    </r>
    <r>
      <rPr>
        <sz val="10"/>
        <rFont val="宋体"/>
        <family val="0"/>
      </rPr>
      <t>/d</t>
    </r>
  </si>
  <si>
    <t>全县合计</t>
  </si>
  <si>
    <t>7</t>
  </si>
  <si>
    <r>
      <t>20m</t>
    </r>
    <r>
      <rPr>
        <vertAlign val="superscript"/>
        <sz val="10"/>
        <rFont val="宋体"/>
        <family val="0"/>
      </rPr>
      <t>3</t>
    </r>
    <r>
      <rPr>
        <sz val="10"/>
        <rFont val="宋体"/>
        <family val="0"/>
      </rPr>
      <t>/d以上集中供水工程</t>
    </r>
  </si>
  <si>
    <t>小计</t>
  </si>
  <si>
    <t>W&gt;1000</t>
  </si>
  <si>
    <t>新桥镇</t>
  </si>
  <si>
    <t>200&lt;W≦1000</t>
  </si>
  <si>
    <t>安乐乡</t>
  </si>
  <si>
    <t>戌街乡</t>
  </si>
  <si>
    <t>凤屯镇</t>
  </si>
  <si>
    <t>20&lt;W≦200</t>
  </si>
  <si>
    <t>共和镇</t>
  </si>
  <si>
    <t>江坡镇</t>
  </si>
  <si>
    <t>蟠猫乡</t>
  </si>
  <si>
    <t>5</t>
  </si>
  <si>
    <r>
      <t>20m</t>
    </r>
    <r>
      <rPr>
        <vertAlign val="superscript"/>
        <sz val="10"/>
        <rFont val="宋体"/>
        <family val="0"/>
      </rPr>
      <t>3</t>
    </r>
    <r>
      <rPr>
        <sz val="10"/>
        <rFont val="宋体"/>
        <family val="0"/>
      </rPr>
      <t>/d以下集中供水工程</t>
    </r>
  </si>
  <si>
    <t>1.2177</t>
  </si>
  <si>
    <t>913.29</t>
  </si>
  <si>
    <t>703.55</t>
  </si>
  <si>
    <t>22</t>
  </si>
  <si>
    <t>38</t>
  </si>
  <si>
    <t>325.91</t>
  </si>
  <si>
    <t>0.5014</t>
  </si>
  <si>
    <t>376.05</t>
  </si>
  <si>
    <t>79.87</t>
  </si>
  <si>
    <t>0.1506</t>
  </si>
  <si>
    <t>112.97</t>
  </si>
  <si>
    <t>9</t>
  </si>
  <si>
    <t>81.64</t>
  </si>
  <si>
    <t>0.0762</t>
  </si>
  <si>
    <t>68.58</t>
  </si>
  <si>
    <t>计划建设沟渠防渗1022条966.94km，安装管道139条212.6km，小池（窖）20604个容积111320m3,坝塘整治837座，提水泵站107座装机4130.5KW,打井102眼11840m。</t>
  </si>
  <si>
    <t>2018-2019</t>
  </si>
  <si>
    <t>牟定县</t>
  </si>
  <si>
    <t>2019-2020</t>
  </si>
  <si>
    <t>2017-2018</t>
  </si>
  <si>
    <t>2016-2017</t>
  </si>
  <si>
    <t>博德河小流域</t>
  </si>
  <si>
    <t>余新小流域</t>
  </si>
  <si>
    <t>共和镇</t>
  </si>
  <si>
    <t>2016-2020</t>
  </si>
  <si>
    <t>中屯水库小流域</t>
  </si>
  <si>
    <t>龙虎水库小流域</t>
  </si>
  <si>
    <t>庆丰水库小流域</t>
  </si>
  <si>
    <t>中屯小流域</t>
  </si>
  <si>
    <t>清河小流域</t>
  </si>
  <si>
    <t>庆丰小流域</t>
  </si>
  <si>
    <t>江坡镇</t>
  </si>
  <si>
    <t>牟定县</t>
  </si>
  <si>
    <t>新桥镇</t>
  </si>
  <si>
    <t>2016-2020</t>
  </si>
  <si>
    <t>戌街乡</t>
  </si>
  <si>
    <t>龙丰水库小流域</t>
  </si>
  <si>
    <t>猫街河小流域</t>
  </si>
  <si>
    <t>直苴小流域</t>
  </si>
  <si>
    <t>米村小流域</t>
  </si>
  <si>
    <t>柜山、者普小流域</t>
  </si>
  <si>
    <t>蟠猫小流域</t>
  </si>
  <si>
    <t>大村羊肝石小流域</t>
  </si>
  <si>
    <t>戌街碗厂小流域</t>
  </si>
  <si>
    <t>金沙江下游国家级重点项目</t>
  </si>
  <si>
    <t>重要饮用水源地拟建生态清洁型小流域重点项目</t>
  </si>
  <si>
    <t>金沙江下游国家级世行二期水土保持项目</t>
  </si>
  <si>
    <t>坡耕地水土流失综合治理项目</t>
  </si>
  <si>
    <t>坡耕地整治</t>
  </si>
  <si>
    <t>水土保持综合治理</t>
  </si>
  <si>
    <t>坡耕地整治</t>
  </si>
  <si>
    <t>洗澡河水库</t>
  </si>
  <si>
    <t>楚雄州</t>
  </si>
  <si>
    <t>牟定县</t>
  </si>
  <si>
    <t>双龙村委会</t>
  </si>
  <si>
    <t>远期储备</t>
  </si>
  <si>
    <t>规划</t>
  </si>
  <si>
    <t>凤屯镇田丰水厂供水工程</t>
  </si>
  <si>
    <t>凤屯镇</t>
  </si>
  <si>
    <t>飒马厂片区1(大平地、松川、水箐等村)</t>
  </si>
  <si>
    <t>有家、官河片区</t>
  </si>
  <si>
    <t>大、小民太，三家村等</t>
  </si>
  <si>
    <t>安乐乡龙川江提水工程</t>
  </si>
  <si>
    <t>新建日处理250立方米污水处理厂一座，污水管、雨水管、合流管6.05公里。</t>
  </si>
  <si>
    <t>新建日处理300立方米污水处理厂一座，污水管、雨水管、合流管12.0公里。</t>
  </si>
  <si>
    <r>
      <t>新建日处理200立方米污水处理厂一座，污水管、雨水管、合流管6.0</t>
    </r>
    <r>
      <rPr>
        <sz val="10"/>
        <rFont val="宋体"/>
        <family val="0"/>
      </rPr>
      <t>公里。</t>
    </r>
  </si>
  <si>
    <r>
      <t>新建日处理450立方米污水处理厂一座，污水管、雨水管、合流管14.2</t>
    </r>
    <r>
      <rPr>
        <sz val="10"/>
        <rFont val="宋体"/>
        <family val="0"/>
      </rPr>
      <t>公里。</t>
    </r>
  </si>
  <si>
    <r>
      <t>新建日处理450立方米污水处理厂一座，污水管、雨水管、合流管14.3</t>
    </r>
    <r>
      <rPr>
        <sz val="10"/>
        <rFont val="宋体"/>
        <family val="0"/>
      </rPr>
      <t>公里。</t>
    </r>
  </si>
  <si>
    <r>
      <t>新建日处理300立方米污水处理厂一座，污水管、雨水管、合流管6.5</t>
    </r>
    <r>
      <rPr>
        <sz val="10"/>
        <rFont val="宋体"/>
        <family val="0"/>
      </rPr>
      <t>公里。</t>
    </r>
  </si>
  <si>
    <r>
      <t>改扩建小㈡型水库4</t>
    </r>
    <r>
      <rPr>
        <sz val="10"/>
        <color indexed="8"/>
        <rFont val="宋体"/>
        <family val="0"/>
      </rPr>
      <t>8</t>
    </r>
    <r>
      <rPr>
        <sz val="10"/>
        <color indexed="8"/>
        <rFont val="宋体"/>
        <family val="0"/>
      </rPr>
      <t>件</t>
    </r>
  </si>
  <si>
    <t>输水量</t>
  </si>
  <si>
    <t>合价（万元）</t>
  </si>
  <si>
    <t>猛岗河（白铜厂）提水工程</t>
  </si>
  <si>
    <t>白铜厂、新房子、干海资</t>
  </si>
  <si>
    <t>兴隆至冷水河道治理</t>
  </si>
  <si>
    <t>兴隆河</t>
  </si>
  <si>
    <t>兴隆、冷水</t>
  </si>
  <si>
    <t>全县范围内实施农村河道治理工程65条，443.28公里，建设水系连通及交叉建筑物489座。</t>
  </si>
  <si>
    <t>小二型水库</t>
  </si>
  <si>
    <t>牟定县江坡镇高家和平者普片区高效节水灌溉项目</t>
  </si>
  <si>
    <t>大小力歪河小流域</t>
  </si>
  <si>
    <t>喜鹊窝河小流域</t>
  </si>
  <si>
    <t>县规划整数为975528.0</t>
  </si>
  <si>
    <r>
      <rPr>
        <sz val="10"/>
        <rFont val="宋体"/>
        <family val="0"/>
      </rPr>
      <t>所在地级行政区名称</t>
    </r>
  </si>
  <si>
    <r>
      <rPr>
        <sz val="10"/>
        <rFont val="宋体"/>
        <family val="0"/>
      </rPr>
      <t>所在县级行政区名称</t>
    </r>
  </si>
  <si>
    <r>
      <rPr>
        <sz val="10"/>
        <rFont val="宋体"/>
        <family val="0"/>
      </rPr>
      <t>涉及的龙头企业名称</t>
    </r>
  </si>
  <si>
    <r>
      <rPr>
        <sz val="10"/>
        <rFont val="宋体"/>
        <family val="0"/>
      </rPr>
      <t>高效节水灌溉工程</t>
    </r>
  </si>
  <si>
    <r>
      <rPr>
        <sz val="10"/>
        <rFont val="宋体"/>
        <family val="0"/>
      </rPr>
      <t>拟采取的运行管理模式</t>
    </r>
  </si>
  <si>
    <r>
      <rPr>
        <sz val="10"/>
        <rFont val="宋体"/>
        <family val="0"/>
      </rPr>
      <t>拟主要种植特色作物</t>
    </r>
  </si>
  <si>
    <r>
      <rPr>
        <sz val="10"/>
        <rFont val="宋体"/>
        <family val="0"/>
      </rPr>
      <t>管灌</t>
    </r>
  </si>
  <si>
    <r>
      <rPr>
        <sz val="10"/>
        <rFont val="宋体"/>
        <family val="0"/>
      </rPr>
      <t>喷灌</t>
    </r>
  </si>
  <si>
    <r>
      <rPr>
        <sz val="10"/>
        <rFont val="宋体"/>
        <family val="0"/>
      </rPr>
      <t>微灌</t>
    </r>
  </si>
  <si>
    <r>
      <rPr>
        <sz val="10"/>
        <rFont val="宋体"/>
        <family val="0"/>
      </rPr>
      <t>名称</t>
    </r>
  </si>
  <si>
    <r>
      <rPr>
        <sz val="10"/>
        <rFont val="宋体"/>
        <family val="0"/>
      </rPr>
      <t>类型</t>
    </r>
  </si>
  <si>
    <r>
      <rPr>
        <sz val="10"/>
        <rFont val="宋体"/>
        <family val="0"/>
      </rPr>
      <t>合计</t>
    </r>
  </si>
  <si>
    <r>
      <rPr>
        <sz val="10"/>
        <rFont val="宋体"/>
        <family val="0"/>
      </rPr>
      <t>农业节水措施</t>
    </r>
  </si>
  <si>
    <r>
      <rPr>
        <sz val="10"/>
        <rFont val="宋体"/>
        <family val="0"/>
      </rPr>
      <t>灌溉用水信息化</t>
    </r>
  </si>
  <si>
    <r>
      <rPr>
        <sz val="10"/>
        <rFont val="宋体"/>
        <family val="0"/>
      </rPr>
      <t>省级</t>
    </r>
  </si>
  <si>
    <r>
      <rPr>
        <sz val="10"/>
        <rFont val="宋体"/>
        <family val="0"/>
      </rPr>
      <t>州市级</t>
    </r>
  </si>
  <si>
    <r>
      <rPr>
        <sz val="10"/>
        <rFont val="宋体"/>
        <family val="0"/>
      </rPr>
      <t>县级</t>
    </r>
  </si>
  <si>
    <r>
      <rPr>
        <sz val="10"/>
        <rFont val="宋体"/>
        <family val="0"/>
      </rPr>
      <t>企业或受益对象自筹</t>
    </r>
  </si>
  <si>
    <t>优质葛根</t>
  </si>
  <si>
    <t>云南红梨产业协会</t>
  </si>
  <si>
    <t>蔬菜（辣椒、小葱等）、花卉</t>
  </si>
  <si>
    <t>牟定县戌街乡水桥蔬菜种植专业合作社</t>
  </si>
  <si>
    <t>楚雄德尔思紫胶有限公司</t>
  </si>
  <si>
    <t>青枣</t>
  </si>
  <si>
    <t>共和镇</t>
  </si>
  <si>
    <t>蔬菜（辣椒、小葱等）、花卉</t>
  </si>
  <si>
    <t>新桥镇</t>
  </si>
  <si>
    <t>蔬菜（小葱等）</t>
  </si>
  <si>
    <t>花椒</t>
  </si>
  <si>
    <t>新桥镇</t>
  </si>
  <si>
    <t>蔬菜（三叶瓜等）、烤烟</t>
  </si>
  <si>
    <t>蔬菜（小葱等）</t>
  </si>
  <si>
    <t>有家、官河种植业协会</t>
  </si>
  <si>
    <t>牟定强基种养殖专业合作社</t>
  </si>
  <si>
    <t>县级</t>
  </si>
  <si>
    <t>早桃、冬桃</t>
  </si>
  <si>
    <t>凤屯镇龙丰老石茶村</t>
  </si>
  <si>
    <t>共和灌区</t>
  </si>
  <si>
    <t>渠道（管道）名称</t>
  </si>
  <si>
    <t>渠道（管道）长度</t>
  </si>
  <si>
    <t>庆丰至田丰输水管道</t>
  </si>
  <si>
    <t>渠系（管道）建筑物</t>
  </si>
  <si>
    <t>干支渠（管道）建设任务</t>
  </si>
  <si>
    <t>红心猕猴桃、蔬菜</t>
  </si>
  <si>
    <r>
      <t>规模指年供水量（万m</t>
    </r>
    <r>
      <rPr>
        <vertAlign val="superscript"/>
        <sz val="8"/>
        <color indexed="8"/>
        <rFont val="宋体"/>
        <family val="0"/>
      </rPr>
      <t>3)</t>
    </r>
  </si>
  <si>
    <t>新建10条（1条干管，9条支管）输水管道、防渗渠道14条，输水管道长度26.07km、防渗渠道长度126.1km，建设管道建筑物14处、渠系建筑物127座。</t>
  </si>
  <si>
    <r>
      <t>规划特色产业高效节水灌溉工程21</t>
    </r>
    <r>
      <rPr>
        <sz val="10"/>
        <color indexed="8"/>
        <rFont val="宋体"/>
        <family val="0"/>
      </rPr>
      <t>个片区，灌溉面积</t>
    </r>
    <r>
      <rPr>
        <sz val="10"/>
        <color indexed="8"/>
        <rFont val="宋体"/>
        <family val="0"/>
      </rPr>
      <t>5</t>
    </r>
    <r>
      <rPr>
        <sz val="10"/>
        <color indexed="8"/>
        <rFont val="宋体"/>
        <family val="0"/>
      </rPr>
      <t>6478</t>
    </r>
    <r>
      <rPr>
        <sz val="10"/>
        <color indexed="8"/>
        <rFont val="宋体"/>
        <family val="0"/>
      </rPr>
      <t>亩，主要种植反季蔬菜、葛根、青枣等。</t>
    </r>
  </si>
  <si>
    <r>
      <t>全县规划小流域治理工程25个，治理水土流失面积307.94</t>
    </r>
    <r>
      <rPr>
        <sz val="10"/>
        <color indexed="8"/>
        <rFont val="宋体"/>
        <family val="0"/>
      </rPr>
      <t>平方公里。</t>
    </r>
  </si>
  <si>
    <t>牟定县“十三五”中型灌区新建、续建配套与节水改造发展规划</t>
  </si>
  <si>
    <t>中屯水库至红豆树水库库库连通工程</t>
  </si>
  <si>
    <t>蟠猫乡、戌街乡</t>
  </si>
  <si>
    <t>紫甸河提水至化佛山供水工程</t>
  </si>
  <si>
    <t>化佛山周边地区</t>
  </si>
  <si>
    <t>牟定县污水再生利用工程</t>
  </si>
  <si>
    <t>牟定县污泥再生利用工程</t>
  </si>
  <si>
    <r>
      <t>建设再生水处理厂、安装处理设备及回收管网等，年处理量1.2万m</t>
    </r>
    <r>
      <rPr>
        <vertAlign val="superscript"/>
        <sz val="10"/>
        <rFont val="宋体"/>
        <family val="0"/>
      </rPr>
      <t>3</t>
    </r>
    <r>
      <rPr>
        <sz val="10"/>
        <rFont val="宋体"/>
        <family val="0"/>
      </rPr>
      <t>。</t>
    </r>
  </si>
  <si>
    <t>建设污泥消毒、干燥、碳化等必要设备，堆放场地等。</t>
  </si>
  <si>
    <t>保护生态，实现废物利用。</t>
  </si>
  <si>
    <t>保护生态，实现废水回收利用。</t>
  </si>
  <si>
    <t>县城污水处理厂配套工程、乡镇污水厂及污水、污泥处置利用</t>
  </si>
  <si>
    <t>县城污水处理厂配套管网25km，除共和镇而外其他6乡镇新建污水处理厂6个，建设污水再生利用、污泥现生利用工程各1件。</t>
  </si>
  <si>
    <r>
      <t>全县范围内规划实施抗旱应急工程21件，新建小型机井15口，连通工程新建渠道160米，其他配套工程</t>
    </r>
    <r>
      <rPr>
        <sz val="10"/>
        <color indexed="8"/>
        <rFont val="宋体"/>
        <family val="0"/>
      </rPr>
      <t>48</t>
    </r>
    <r>
      <rPr>
        <sz val="10"/>
        <color indexed="8"/>
        <rFont val="宋体"/>
        <family val="0"/>
      </rPr>
      <t>公里，实现供水应急水量</t>
    </r>
    <r>
      <rPr>
        <sz val="10"/>
        <color indexed="8"/>
        <rFont val="宋体"/>
        <family val="0"/>
      </rPr>
      <t>146.71</t>
    </r>
    <r>
      <rPr>
        <sz val="10"/>
        <color indexed="8"/>
        <rFont val="宋体"/>
        <family val="0"/>
      </rPr>
      <t>万立方米，供水保障人口</t>
    </r>
    <r>
      <rPr>
        <sz val="10"/>
        <color indexed="8"/>
        <rFont val="宋体"/>
        <family val="0"/>
      </rPr>
      <t>2.</t>
    </r>
    <r>
      <rPr>
        <sz val="10"/>
        <color indexed="8"/>
        <rFont val="宋体"/>
        <family val="0"/>
      </rPr>
      <t>67</t>
    </r>
    <r>
      <rPr>
        <sz val="10"/>
        <color indexed="8"/>
        <rFont val="宋体"/>
        <family val="0"/>
      </rPr>
      <t>万人，保障灌溉面积</t>
    </r>
    <r>
      <rPr>
        <sz val="10"/>
        <color indexed="8"/>
        <rFont val="宋体"/>
        <family val="0"/>
      </rPr>
      <t>1.</t>
    </r>
    <r>
      <rPr>
        <sz val="10"/>
        <color indexed="8"/>
        <rFont val="宋体"/>
        <family val="0"/>
      </rPr>
      <t>55</t>
    </r>
    <r>
      <rPr>
        <sz val="10"/>
        <color indexed="8"/>
        <rFont val="宋体"/>
        <family val="0"/>
      </rPr>
      <t>5</t>
    </r>
    <r>
      <rPr>
        <sz val="10"/>
        <color indexed="8"/>
        <rFont val="宋体"/>
        <family val="0"/>
      </rPr>
      <t>万亩。</t>
    </r>
  </si>
  <si>
    <r>
      <t>规模指年取水量（万m</t>
    </r>
    <r>
      <rPr>
        <vertAlign val="superscript"/>
        <sz val="8"/>
        <rFont val="宋体"/>
        <family val="0"/>
      </rPr>
      <t>3)</t>
    </r>
  </si>
  <si>
    <t>污水、污泥处理建设项目</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</si>
</sst>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_ "/>
    <numFmt numFmtId="178" formatCode="0_);[Red]\(0\)"/>
    <numFmt numFmtId="179" formatCode="0.00_);[Red]\(0.00\)"/>
    <numFmt numFmtId="180" formatCode="0.0_);[Red]\(0.0\)"/>
    <numFmt numFmtId="181" formatCode="0.000_);[Red]\(0.000\)"/>
    <numFmt numFmtId="182" formatCode="0_);\(0\)"/>
    <numFmt numFmtId="183" formatCode="0_ "/>
    <numFmt numFmtId="184" formatCode="0.0_ "/>
    <numFmt numFmtId="185" formatCode="0.000_ "/>
    <numFmt numFmtId="186" formatCode="0.0000_);[Red]\(0.0000\)"/>
    <numFmt numFmtId="187" formatCode="0.00;[Red]0.00"/>
    <numFmt numFmtId="188" formatCode="0.00_);\(0.00\)"/>
    <numFmt numFmtId="189" formatCode="0.0_);\(0.0\)"/>
    <numFmt numFmtId="190" formatCode="0.00;_"/>
    <numFmt numFmtId="191" formatCode="#,##0.000_ "/>
    <numFmt numFmtId="192" formatCode="&quot;Yes&quot;;&quot;Yes&quot;;&quot;No&quot;"/>
    <numFmt numFmtId="193" formatCode="&quot;True&quot;;&quot;True&quot;;&quot;False&quot;"/>
    <numFmt numFmtId="194" formatCode="&quot;On&quot;;&quot;On&quot;;&quot;Off&quot;"/>
    <numFmt numFmtId="195" formatCode="[$€-2]\ #,##0.00_);[Red]\([$€-2]\ #,##0.00\)"/>
  </numFmts>
  <fonts count="90">
    <font>
      <sz val="11"/>
      <color indexed="8"/>
      <name val="宋体"/>
      <family val="0"/>
    </font>
    <font>
      <sz val="12"/>
      <name val="宋体"/>
      <family val="0"/>
    </font>
    <font>
      <sz val="10"/>
      <name val="宋体"/>
      <family val="0"/>
    </font>
    <font>
      <sz val="9"/>
      <name val="宋体"/>
      <family val="0"/>
    </font>
    <font>
      <sz val="10"/>
      <name val="Arial"/>
      <family val="2"/>
    </font>
    <font>
      <sz val="10"/>
      <name val="黑体"/>
      <family val="3"/>
    </font>
    <font>
      <b/>
      <sz val="11"/>
      <color indexed="52"/>
      <name val="宋体"/>
      <family val="0"/>
    </font>
    <font>
      <b/>
      <sz val="11"/>
      <color indexed="63"/>
      <name val="宋体"/>
      <family val="0"/>
    </font>
    <font>
      <sz val="11"/>
      <color indexed="9"/>
      <name val="宋体"/>
      <family val="0"/>
    </font>
    <font>
      <b/>
      <sz val="18"/>
      <color indexed="56"/>
      <name val="宋体"/>
      <family val="0"/>
    </font>
    <font>
      <i/>
      <sz val="11"/>
      <color indexed="23"/>
      <name val="宋体"/>
      <family val="0"/>
    </font>
    <font>
      <b/>
      <sz val="13"/>
      <color indexed="56"/>
      <name val="宋体"/>
      <family val="0"/>
    </font>
    <font>
      <b/>
      <sz val="11"/>
      <color indexed="56"/>
      <name val="宋体"/>
      <family val="0"/>
    </font>
    <font>
      <sz val="11"/>
      <color indexed="52"/>
      <name val="宋体"/>
      <family val="0"/>
    </font>
    <font>
      <sz val="11"/>
      <color indexed="17"/>
      <name val="宋体"/>
      <family val="0"/>
    </font>
    <font>
      <b/>
      <sz val="11"/>
      <color indexed="9"/>
      <name val="宋体"/>
      <family val="0"/>
    </font>
    <font>
      <b/>
      <sz val="15"/>
      <color indexed="56"/>
      <name val="宋体"/>
      <family val="0"/>
    </font>
    <font>
      <sz val="11"/>
      <color indexed="62"/>
      <name val="宋体"/>
      <family val="0"/>
    </font>
    <font>
      <sz val="11"/>
      <color indexed="20"/>
      <name val="宋体"/>
      <family val="0"/>
    </font>
    <font>
      <sz val="11"/>
      <color indexed="60"/>
      <name val="宋体"/>
      <family val="0"/>
    </font>
    <font>
      <b/>
      <sz val="11"/>
      <color indexed="8"/>
      <name val="宋体"/>
      <family val="0"/>
    </font>
    <font>
      <sz val="11"/>
      <color indexed="10"/>
      <name val="宋体"/>
      <family val="0"/>
    </font>
    <font>
      <b/>
      <sz val="14"/>
      <name val="宋体"/>
      <family val="0"/>
    </font>
    <font>
      <sz val="11"/>
      <name val="Times New Roman"/>
      <family val="1"/>
    </font>
    <font>
      <sz val="12"/>
      <name val="Times New Roman"/>
      <family val="1"/>
    </font>
    <font>
      <sz val="10"/>
      <name val="Times New Roman"/>
      <family val="1"/>
    </font>
    <font>
      <sz val="10"/>
      <color indexed="8"/>
      <name val="宋体"/>
      <family val="0"/>
    </font>
    <font>
      <vertAlign val="superscript"/>
      <sz val="10"/>
      <name val="Times New Roman"/>
      <family val="1"/>
    </font>
    <font>
      <b/>
      <sz val="9"/>
      <name val="宋体"/>
      <family val="0"/>
    </font>
    <font>
      <b/>
      <sz val="9"/>
      <name val="Tahoma"/>
      <family val="2"/>
    </font>
    <font>
      <sz val="9"/>
      <name val="Tahoma"/>
      <family val="2"/>
    </font>
    <font>
      <sz val="14"/>
      <name val="黑体"/>
      <family val="3"/>
    </font>
    <font>
      <b/>
      <sz val="14"/>
      <name val="黑体"/>
      <family val="3"/>
    </font>
    <font>
      <b/>
      <sz val="14"/>
      <color indexed="8"/>
      <name val="宋体"/>
      <family val="0"/>
    </font>
    <font>
      <sz val="11"/>
      <name val="宋体"/>
      <family val="0"/>
    </font>
    <font>
      <b/>
      <u val="single"/>
      <sz val="14"/>
      <name val="宋体"/>
      <family val="0"/>
    </font>
    <font>
      <vertAlign val="superscript"/>
      <sz val="10"/>
      <name val="宋体"/>
      <family val="0"/>
    </font>
    <font>
      <vertAlign val="superscript"/>
      <sz val="11"/>
      <name val="Times New Roman"/>
      <family val="1"/>
    </font>
    <font>
      <vertAlign val="superscript"/>
      <sz val="10"/>
      <color indexed="8"/>
      <name val="宋体"/>
      <family val="0"/>
    </font>
    <font>
      <sz val="16"/>
      <name val="黑体"/>
      <family val="3"/>
    </font>
    <font>
      <b/>
      <sz val="14"/>
      <name val="Times New Roman"/>
      <family val="1"/>
    </font>
    <font>
      <sz val="9"/>
      <name val="新宋体"/>
      <family val="3"/>
    </font>
    <font>
      <b/>
      <sz val="10"/>
      <name val="宋体"/>
      <family val="0"/>
    </font>
    <font>
      <b/>
      <sz val="16"/>
      <name val="宋体"/>
      <family val="0"/>
    </font>
    <font>
      <sz val="9"/>
      <color indexed="8"/>
      <name val="宋体"/>
      <family val="0"/>
    </font>
    <font>
      <sz val="10"/>
      <color indexed="53"/>
      <name val="宋体"/>
      <family val="0"/>
    </font>
    <font>
      <sz val="10"/>
      <name val="新宋体"/>
      <family val="3"/>
    </font>
    <font>
      <sz val="10"/>
      <color indexed="8"/>
      <name val="新宋体"/>
      <family val="3"/>
    </font>
    <font>
      <b/>
      <sz val="10"/>
      <color indexed="8"/>
      <name val="宋体"/>
      <family val="0"/>
    </font>
    <font>
      <b/>
      <sz val="10"/>
      <name val="Times New Roman"/>
      <family val="1"/>
    </font>
    <font>
      <b/>
      <sz val="11"/>
      <name val="Times New Roman"/>
      <family val="1"/>
    </font>
    <font>
      <b/>
      <sz val="11"/>
      <name val="宋体"/>
      <family val="0"/>
    </font>
    <font>
      <sz val="8"/>
      <color indexed="8"/>
      <name val="宋体"/>
      <family val="0"/>
    </font>
    <font>
      <vertAlign val="superscript"/>
      <sz val="8"/>
      <color indexed="8"/>
      <name val="宋体"/>
      <family val="0"/>
    </font>
    <font>
      <sz val="8"/>
      <name val="宋体"/>
      <family val="0"/>
    </font>
    <font>
      <b/>
      <sz val="16"/>
      <color indexed="8"/>
      <name val="宋体"/>
      <family val="0"/>
    </font>
    <font>
      <b/>
      <vertAlign val="superscript"/>
      <sz val="10"/>
      <name val="宋体"/>
      <family val="0"/>
    </font>
    <font>
      <sz val="10"/>
      <name val="仿宋_GB2312"/>
      <family val="3"/>
    </font>
    <font>
      <vertAlign val="superscript"/>
      <sz val="10"/>
      <name val="仿宋_GB2312"/>
      <family val="3"/>
    </font>
    <font>
      <sz val="11"/>
      <name val="仿宋_GB2312"/>
      <family val="3"/>
    </font>
    <font>
      <sz val="8"/>
      <name val="Arial"/>
      <family val="2"/>
    </font>
    <font>
      <sz val="8"/>
      <name val="仿宋_GB2312"/>
      <family val="3"/>
    </font>
    <font>
      <u val="single"/>
      <sz val="14"/>
      <name val="黑体"/>
      <family val="3"/>
    </font>
    <font>
      <vertAlign val="superscript"/>
      <sz val="14"/>
      <name val="黑体"/>
      <family val="3"/>
    </font>
    <font>
      <b/>
      <sz val="8"/>
      <name val="仿宋_GB2312"/>
      <family val="3"/>
    </font>
    <font>
      <vertAlign val="superscript"/>
      <sz val="8"/>
      <name val="仿宋_GB2312"/>
      <family val="3"/>
    </font>
    <font>
      <vertAlign val="superscript"/>
      <sz val="9"/>
      <name val="宋体"/>
      <family val="0"/>
    </font>
    <font>
      <sz val="18"/>
      <name val="方正小标宋简体"/>
      <family val="4"/>
    </font>
    <font>
      <sz val="10"/>
      <color indexed="10"/>
      <name val="宋体"/>
      <family val="0"/>
    </font>
    <font>
      <b/>
      <sz val="10"/>
      <color indexed="10"/>
      <name val="宋体"/>
      <family val="0"/>
    </font>
    <font>
      <sz val="10"/>
      <color indexed="17"/>
      <name val="宋体"/>
      <family val="0"/>
    </font>
    <font>
      <sz val="10"/>
      <color indexed="14"/>
      <name val="宋体"/>
      <family val="0"/>
    </font>
    <font>
      <b/>
      <sz val="8"/>
      <color indexed="8"/>
      <name val="宋体"/>
      <family val="0"/>
    </font>
    <font>
      <vertAlign val="superscript"/>
      <sz val="8"/>
      <name val="宋体"/>
      <family val="0"/>
    </font>
    <font>
      <u val="single"/>
      <sz val="11"/>
      <color indexed="12"/>
      <name val="宋体"/>
      <family val="0"/>
    </font>
    <font>
      <u val="single"/>
      <sz val="11"/>
      <color indexed="20"/>
      <name val="宋体"/>
      <family val="0"/>
    </font>
    <font>
      <sz val="11"/>
      <color indexed="13"/>
      <name val="宋体"/>
      <family val="0"/>
    </font>
    <font>
      <sz val="11"/>
      <color theme="1"/>
      <name val="Calibri"/>
      <family val="0"/>
    </font>
    <font>
      <u val="single"/>
      <sz val="11"/>
      <color theme="10"/>
      <name val="宋体"/>
      <family val="0"/>
    </font>
    <font>
      <u val="single"/>
      <sz val="11"/>
      <color theme="11"/>
      <name val="宋体"/>
      <family val="0"/>
    </font>
    <font>
      <sz val="10"/>
      <color indexed="8"/>
      <name val="Calibri"/>
      <family val="0"/>
    </font>
    <font>
      <sz val="10"/>
      <color rgb="FFFF0000"/>
      <name val="Calibri"/>
      <family val="0"/>
    </font>
    <font>
      <sz val="10"/>
      <name val="Calibri"/>
      <family val="0"/>
    </font>
    <font>
      <sz val="11"/>
      <name val="Calibri"/>
      <family val="0"/>
    </font>
    <font>
      <b/>
      <sz val="10"/>
      <name val="Calibri"/>
      <family val="0"/>
    </font>
    <font>
      <b/>
      <sz val="11"/>
      <name val="Calibri"/>
      <family val="0"/>
    </font>
    <font>
      <sz val="11"/>
      <color indexed="8"/>
      <name val="Calibri"/>
      <family val="0"/>
    </font>
    <font>
      <sz val="10"/>
      <color rgb="FFFF0000"/>
      <name val="宋体"/>
      <family val="0"/>
    </font>
    <font>
      <sz val="11"/>
      <color rgb="FF92D050"/>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right style="thin"/>
      <top>
        <color indexed="63"/>
      </top>
      <bottom>
        <color indexed="63"/>
      </bottom>
    </border>
    <border>
      <left/>
      <right style="thin"/>
      <top/>
      <bottom style="thin"/>
    </border>
  </borders>
  <cellStyleXfs count="9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9" fillId="0" borderId="0" applyNumberFormat="0" applyFill="0" applyBorder="0" applyAlignment="0" applyProtection="0"/>
    <xf numFmtId="0" fontId="16"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8" fillId="3"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protection/>
    </xf>
    <xf numFmtId="0" fontId="77" fillId="0" borderId="0">
      <alignment/>
      <protection/>
    </xf>
    <xf numFmtId="0" fontId="77"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24"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24" fillId="0" borderId="0">
      <alignment/>
      <protection/>
    </xf>
    <xf numFmtId="0" fontId="0" fillId="0" borderId="0">
      <alignment/>
      <protection/>
    </xf>
    <xf numFmtId="0" fontId="1" fillId="0" borderId="0">
      <alignment/>
      <protection/>
    </xf>
    <xf numFmtId="0" fontId="4" fillId="0" borderId="0">
      <alignment/>
      <protection/>
    </xf>
    <xf numFmtId="0" fontId="0" fillId="0" borderId="0">
      <alignment vertical="center"/>
      <protection/>
    </xf>
    <xf numFmtId="0" fontId="4" fillId="0" borderId="0">
      <alignment/>
      <protection/>
    </xf>
    <xf numFmtId="0" fontId="1" fillId="0" borderId="0">
      <alignment/>
      <protection/>
    </xf>
    <xf numFmtId="0" fontId="24" fillId="0" borderId="0">
      <alignment vertical="center"/>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78" fillId="0" borderId="0" applyNumberFormat="0" applyFill="0" applyBorder="0" applyAlignment="0" applyProtection="0"/>
    <xf numFmtId="0" fontId="14"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15" fillId="17" borderId="6" applyNumberFormat="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9" fillId="22" borderId="0" applyNumberFormat="0" applyBorder="0" applyAlignment="0" applyProtection="0"/>
    <xf numFmtId="0" fontId="7" fillId="16" borderId="8" applyNumberFormat="0" applyAlignment="0" applyProtection="0"/>
    <xf numFmtId="0" fontId="17" fillId="7" borderId="5" applyNumberFormat="0" applyAlignment="0" applyProtection="0"/>
    <xf numFmtId="0" fontId="79" fillId="0" borderId="0" applyNumberFormat="0" applyFill="0" applyBorder="0" applyAlignment="0" applyProtection="0"/>
    <xf numFmtId="0" fontId="0" fillId="23" borderId="9" applyNumberFormat="0" applyFont="0" applyAlignment="0" applyProtection="0"/>
  </cellStyleXfs>
  <cellXfs count="962">
    <xf numFmtId="0" fontId="0" fillId="0" borderId="0" xfId="0" applyAlignment="1">
      <alignment vertical="center"/>
    </xf>
    <xf numFmtId="0" fontId="5" fillId="0" borderId="10" xfId="34" applyFont="1" applyFill="1" applyBorder="1" applyAlignment="1">
      <alignment horizontal="center" vertical="center"/>
      <protection/>
    </xf>
    <xf numFmtId="0" fontId="4" fillId="0" borderId="10" xfId="34" applyFont="1" applyFill="1" applyBorder="1">
      <alignment/>
      <protection/>
    </xf>
    <xf numFmtId="0" fontId="0" fillId="0" borderId="10" xfId="0" applyBorder="1" applyAlignment="1">
      <alignment vertical="center"/>
    </xf>
    <xf numFmtId="0" fontId="0" fillId="0" borderId="10" xfId="0" applyBorder="1" applyAlignment="1">
      <alignment horizontal="center" vertical="center"/>
    </xf>
    <xf numFmtId="179" fontId="25" fillId="0" borderId="10" xfId="0" applyNumberFormat="1" applyFont="1" applyFill="1" applyBorder="1" applyAlignment="1">
      <alignment horizontal="center" vertical="center" wrapText="1"/>
    </xf>
    <xf numFmtId="0" fontId="2" fillId="0" borderId="10" xfId="66" applyFont="1" applyBorder="1" applyAlignment="1">
      <alignment horizontal="center" vertical="center" wrapText="1"/>
      <protection/>
    </xf>
    <xf numFmtId="178"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66" applyFont="1" applyBorder="1" applyAlignment="1">
      <alignment horizontal="center" vertical="center" wrapText="1"/>
      <protection/>
    </xf>
    <xf numFmtId="0" fontId="26" fillId="0" borderId="10" xfId="0" applyFont="1" applyFill="1" applyBorder="1" applyAlignment="1">
      <alignment horizontal="center" vertical="center" wrapText="1"/>
    </xf>
    <xf numFmtId="178" fontId="26" fillId="0" borderId="10" xfId="0" applyNumberFormat="1" applyFont="1" applyFill="1" applyBorder="1" applyAlignment="1">
      <alignment horizontal="center" vertical="center" wrapText="1"/>
    </xf>
    <xf numFmtId="178" fontId="2" fillId="0" borderId="10" xfId="0" applyNumberFormat="1" applyFont="1" applyFill="1" applyBorder="1" applyAlignment="1" applyProtection="1">
      <alignment horizontal="center" vertical="center" wrapText="1"/>
      <protection locked="0"/>
    </xf>
    <xf numFmtId="179" fontId="26"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177" fontId="2" fillId="0" borderId="10" xfId="0" applyNumberFormat="1" applyFont="1" applyBorder="1" applyAlignment="1">
      <alignment horizontal="center" vertical="center"/>
    </xf>
    <xf numFmtId="0" fontId="26" fillId="0" borderId="10" xfId="0" applyFont="1" applyBorder="1" applyAlignment="1">
      <alignment horizontal="center" vertical="center"/>
    </xf>
    <xf numFmtId="179" fontId="2" fillId="0" borderId="10" xfId="52" applyNumberFormat="1" applyFont="1" applyFill="1" applyBorder="1" applyAlignment="1">
      <alignment horizontal="center" vertical="center" wrapText="1"/>
      <protection/>
    </xf>
    <xf numFmtId="177" fontId="26" fillId="0" borderId="10" xfId="0" applyNumberFormat="1" applyFont="1" applyBorder="1" applyAlignment="1">
      <alignment horizontal="center" vertical="center"/>
    </xf>
    <xf numFmtId="178" fontId="25" fillId="0" borderId="10" xfId="66" applyNumberFormat="1" applyFont="1" applyFill="1" applyBorder="1" applyAlignment="1">
      <alignment horizontal="center" vertical="center" wrapText="1"/>
      <protection/>
    </xf>
    <xf numFmtId="0" fontId="25" fillId="0" borderId="10" xfId="66" applyFont="1" applyFill="1" applyBorder="1" applyAlignment="1">
      <alignment horizontal="center" vertical="center" wrapText="1"/>
      <protection/>
    </xf>
    <xf numFmtId="179" fontId="25" fillId="0" borderId="10" xfId="60" applyNumberFormat="1" applyFont="1" applyFill="1" applyBorder="1" applyAlignment="1">
      <alignment horizontal="center" vertical="center" wrapText="1"/>
      <protection/>
    </xf>
    <xf numFmtId="179" fontId="25" fillId="0" borderId="10" xfId="50" applyNumberFormat="1" applyFont="1" applyFill="1" applyBorder="1" applyAlignment="1">
      <alignment horizontal="center" vertical="center" wrapText="1"/>
      <protection/>
    </xf>
    <xf numFmtId="180" fontId="25" fillId="0" borderId="10" xfId="60" applyNumberFormat="1" applyFont="1" applyFill="1" applyBorder="1" applyAlignment="1">
      <alignment horizontal="center" vertical="center" wrapText="1"/>
      <protection/>
    </xf>
    <xf numFmtId="178" fontId="25" fillId="0" borderId="10" xfId="50" applyNumberFormat="1" applyFont="1" applyFill="1" applyBorder="1" applyAlignment="1">
      <alignment horizontal="center" vertical="center" wrapText="1"/>
      <protection/>
    </xf>
    <xf numFmtId="178" fontId="25" fillId="0" borderId="10" xfId="60" applyNumberFormat="1" applyFont="1" applyFill="1" applyBorder="1" applyAlignment="1">
      <alignment horizontal="center" vertical="center" wrapText="1"/>
      <protection/>
    </xf>
    <xf numFmtId="178" fontId="25" fillId="0" borderId="10" xfId="57" applyNumberFormat="1" applyFont="1" applyFill="1" applyBorder="1" applyAlignment="1">
      <alignment horizontal="center" vertical="center" wrapText="1"/>
      <protection/>
    </xf>
    <xf numFmtId="181" fontId="25"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6" fillId="0" borderId="0" xfId="0" applyFont="1" applyAlignment="1">
      <alignment vertical="center"/>
    </xf>
    <xf numFmtId="1" fontId="26" fillId="0" borderId="10" xfId="64" applyNumberFormat="1" applyFont="1" applyFill="1" applyBorder="1" applyAlignment="1">
      <alignment horizontal="center" vertical="center" wrapText="1"/>
      <protection/>
    </xf>
    <xf numFmtId="177" fontId="2" fillId="0" borderId="10" xfId="56" applyNumberFormat="1" applyFont="1" applyFill="1" applyBorder="1" applyAlignment="1">
      <alignment horizontal="center" vertical="center" wrapText="1"/>
      <protection/>
    </xf>
    <xf numFmtId="0" fontId="0" fillId="0" borderId="0" xfId="0" applyNumberFormat="1" applyAlignment="1">
      <alignment vertical="center"/>
    </xf>
    <xf numFmtId="182" fontId="0" fillId="0" borderId="10" xfId="0" applyNumberFormat="1" applyBorder="1" applyAlignment="1">
      <alignment horizontal="center" vertical="center"/>
    </xf>
    <xf numFmtId="0" fontId="26" fillId="0" borderId="10" xfId="0" applyFont="1" applyBorder="1" applyAlignment="1">
      <alignment horizontal="center" vertical="center" wrapText="1"/>
    </xf>
    <xf numFmtId="0" fontId="26" fillId="0" borderId="11" xfId="0" applyFont="1" applyFill="1" applyBorder="1" applyAlignment="1">
      <alignment horizontal="center" vertical="center" wrapText="1"/>
    </xf>
    <xf numFmtId="1" fontId="26" fillId="0" borderId="12" xfId="64" applyNumberFormat="1" applyFont="1" applyFill="1" applyBorder="1" applyAlignment="1">
      <alignment horizontal="center" vertical="center" wrapText="1"/>
      <protection/>
    </xf>
    <xf numFmtId="182" fontId="0" fillId="0" borderId="13" xfId="0" applyNumberFormat="1" applyBorder="1" applyAlignment="1">
      <alignment horizontal="center" vertical="center"/>
    </xf>
    <xf numFmtId="1" fontId="26" fillId="0" borderId="14" xfId="64" applyNumberFormat="1" applyFont="1" applyFill="1" applyBorder="1" applyAlignment="1">
      <alignment horizontal="left" vertical="center" wrapText="1"/>
      <protection/>
    </xf>
    <xf numFmtId="1" fontId="26" fillId="0" borderId="13" xfId="64" applyNumberFormat="1" applyFont="1" applyFill="1" applyBorder="1" applyAlignment="1">
      <alignment horizontal="left" vertical="center" wrapText="1"/>
      <protection/>
    </xf>
    <xf numFmtId="178" fontId="25" fillId="0" borderId="10" xfId="46" applyNumberFormat="1" applyFont="1" applyFill="1" applyBorder="1" applyAlignment="1">
      <alignment horizontal="center" vertical="center" wrapText="1"/>
      <protection/>
    </xf>
    <xf numFmtId="178" fontId="25" fillId="0" borderId="10" xfId="47" applyNumberFormat="1" applyFont="1" applyFill="1" applyBorder="1" applyAlignment="1">
      <alignment horizontal="center" vertical="center" wrapText="1"/>
      <protection/>
    </xf>
    <xf numFmtId="178" fontId="25" fillId="0" borderId="10" xfId="65" applyNumberFormat="1" applyFont="1" applyFill="1" applyBorder="1" applyAlignment="1">
      <alignment horizontal="center" vertical="center" wrapText="1"/>
      <protection/>
    </xf>
    <xf numFmtId="0" fontId="26" fillId="0" borderId="0" xfId="0" applyFont="1" applyAlignment="1">
      <alignment vertical="center"/>
    </xf>
    <xf numFmtId="0" fontId="2" fillId="0" borderId="0" xfId="0" applyFont="1" applyAlignment="1">
      <alignment vertical="center"/>
    </xf>
    <xf numFmtId="0" fontId="26" fillId="0" borderId="0" xfId="0" applyFont="1" applyFill="1" applyAlignment="1">
      <alignment vertical="center"/>
    </xf>
    <xf numFmtId="0" fontId="0" fillId="0" borderId="0" xfId="0" applyBorder="1" applyAlignment="1">
      <alignment vertical="center"/>
    </xf>
    <xf numFmtId="0" fontId="41" fillId="0" borderId="10" xfId="0" applyFont="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26" fillId="0" borderId="0" xfId="0" applyFont="1" applyAlignment="1">
      <alignment horizontal="center" vertical="center" wrapText="1"/>
    </xf>
    <xf numFmtId="0" fontId="26" fillId="0" borderId="10" xfId="49" applyFont="1" applyFill="1" applyBorder="1" applyAlignment="1" applyProtection="1">
      <alignment horizontal="center" vertical="center" wrapText="1"/>
      <protection/>
    </xf>
    <xf numFmtId="0" fontId="26" fillId="0" borderId="10" xfId="49" applyFont="1" applyFill="1" applyBorder="1" applyAlignment="1">
      <alignment horizontal="center" vertical="center" wrapText="1"/>
      <protection/>
    </xf>
    <xf numFmtId="178" fontId="26" fillId="0" borderId="10" xfId="49" applyNumberFormat="1" applyFont="1" applyFill="1" applyBorder="1" applyAlignment="1">
      <alignment horizontal="center" vertical="center" wrapText="1"/>
      <protection/>
    </xf>
    <xf numFmtId="0" fontId="26" fillId="0" borderId="10" xfId="68" applyFont="1" applyFill="1" applyBorder="1" applyAlignment="1">
      <alignment horizontal="center" vertical="center" wrapText="1"/>
      <protection/>
    </xf>
    <xf numFmtId="0" fontId="21" fillId="0" borderId="0" xfId="0" applyFont="1" applyAlignment="1">
      <alignment vertical="center"/>
    </xf>
    <xf numFmtId="0" fontId="42" fillId="0" borderId="10" xfId="61" applyFont="1" applyFill="1" applyBorder="1" applyAlignment="1">
      <alignment horizontal="center" vertical="center" wrapText="1"/>
      <protection/>
    </xf>
    <xf numFmtId="0" fontId="3" fillId="0" borderId="10" xfId="61" applyFont="1" applyFill="1" applyBorder="1" applyAlignment="1">
      <alignment horizontal="center" vertical="center"/>
      <protection/>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44"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44" fillId="0" borderId="0" xfId="0" applyFont="1" applyAlignment="1">
      <alignment vertical="center"/>
    </xf>
    <xf numFmtId="0" fontId="26" fillId="0" borderId="0" xfId="0" applyFont="1" applyAlignment="1">
      <alignment vertical="center"/>
    </xf>
    <xf numFmtId="0" fontId="2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6" fillId="0" borderId="10" xfId="0" applyFont="1" applyBorder="1" applyAlignment="1">
      <alignment vertical="center"/>
    </xf>
    <xf numFmtId="0" fontId="68" fillId="0" borderId="0" xfId="0" applyFont="1" applyAlignment="1">
      <alignment vertical="center"/>
    </xf>
    <xf numFmtId="0" fontId="57" fillId="0" borderId="15" xfId="0" applyFont="1" applyFill="1" applyBorder="1" applyAlignment="1">
      <alignment horizontal="center" vertical="center" wrapText="1"/>
    </xf>
    <xf numFmtId="0" fontId="3" fillId="0" borderId="10" xfId="61" applyFont="1" applyFill="1" applyBorder="1" applyAlignment="1">
      <alignment horizontal="center" vertical="center"/>
      <protection/>
    </xf>
    <xf numFmtId="0" fontId="46" fillId="0" borderId="10" xfId="15" applyNumberFormat="1" applyFont="1" applyFill="1" applyBorder="1" applyAlignment="1">
      <alignment horizontal="center" vertical="center" wrapText="1"/>
      <protection/>
    </xf>
    <xf numFmtId="0" fontId="46" fillId="0" borderId="10" xfId="0" applyNumberFormat="1" applyFont="1" applyFill="1" applyBorder="1" applyAlignment="1">
      <alignment horizontal="center" vertical="center" wrapText="1"/>
    </xf>
    <xf numFmtId="0" fontId="26" fillId="0" borderId="12" xfId="0" applyFont="1" applyBorder="1" applyAlignment="1">
      <alignment horizontal="center" vertical="center"/>
    </xf>
    <xf numFmtId="0" fontId="0" fillId="0" borderId="12" xfId="0" applyBorder="1" applyAlignment="1">
      <alignment horizontal="center" vertical="center"/>
    </xf>
    <xf numFmtId="0" fontId="20" fillId="0" borderId="0" xfId="0" applyFont="1" applyAlignment="1">
      <alignment horizontal="center" vertical="center"/>
    </xf>
    <xf numFmtId="0" fontId="0" fillId="0" borderId="0" xfId="0" applyAlignment="1">
      <alignment horizontal="left" vertical="center"/>
    </xf>
    <xf numFmtId="0" fontId="20"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vertical="center"/>
    </xf>
    <xf numFmtId="0" fontId="48" fillId="0" borderId="10" xfId="0" applyFont="1" applyBorder="1" applyAlignment="1">
      <alignment horizontal="left" vertical="center"/>
    </xf>
    <xf numFmtId="0" fontId="48" fillId="0" borderId="0" xfId="0" applyFont="1" applyAlignment="1">
      <alignment vertical="center"/>
    </xf>
    <xf numFmtId="0" fontId="26" fillId="0" borderId="10" xfId="0" applyFont="1" applyBorder="1" applyAlignment="1">
      <alignment horizontal="center" vertical="center"/>
    </xf>
    <xf numFmtId="0" fontId="26" fillId="0" borderId="10" xfId="0" applyFont="1" applyBorder="1" applyAlignment="1">
      <alignment vertical="center"/>
    </xf>
    <xf numFmtId="0" fontId="26" fillId="0" borderId="10" xfId="0" applyFont="1" applyBorder="1" applyAlignment="1">
      <alignment horizontal="left" vertical="center"/>
    </xf>
    <xf numFmtId="0" fontId="26" fillId="0" borderId="0" xfId="0" applyFont="1" applyAlignment="1">
      <alignment vertical="center"/>
    </xf>
    <xf numFmtId="0" fontId="26" fillId="0" borderId="10" xfId="0" applyFont="1" applyBorder="1" applyAlignment="1">
      <alignment horizontal="left" vertical="center" wrapText="1"/>
    </xf>
    <xf numFmtId="0" fontId="26" fillId="0" borderId="10" xfId="0" applyFont="1" applyBorder="1" applyAlignment="1">
      <alignment vertical="center" wrapText="1"/>
    </xf>
    <xf numFmtId="0" fontId="48"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42" fillId="0" borderId="10" xfId="61" applyFont="1" applyFill="1" applyBorder="1" applyAlignment="1">
      <alignment horizontal="center" vertical="center"/>
      <protection/>
    </xf>
    <xf numFmtId="0" fontId="42" fillId="0" borderId="14" xfId="61" applyFont="1" applyFill="1" applyBorder="1" applyAlignment="1">
      <alignment horizontal="center" vertical="center"/>
      <protection/>
    </xf>
    <xf numFmtId="0" fontId="20" fillId="0" borderId="10" xfId="0" applyFont="1" applyBorder="1" applyAlignment="1">
      <alignment horizontal="center" vertical="center"/>
    </xf>
    <xf numFmtId="0" fontId="48" fillId="0" borderId="0" xfId="0" applyFont="1" applyAlignment="1">
      <alignment vertical="center"/>
    </xf>
    <xf numFmtId="0" fontId="48" fillId="0" borderId="10" xfId="0" applyFont="1" applyBorder="1" applyAlignment="1">
      <alignment horizontal="center" vertical="center" wrapText="1"/>
    </xf>
    <xf numFmtId="0" fontId="48" fillId="0" borderId="10" xfId="0" applyFont="1" applyBorder="1" applyAlignment="1">
      <alignment vertical="center"/>
    </xf>
    <xf numFmtId="0" fontId="48" fillId="0" borderId="10" xfId="0" applyFont="1" applyBorder="1" applyAlignment="1">
      <alignment horizontal="center" vertical="center"/>
    </xf>
    <xf numFmtId="0" fontId="20" fillId="0" borderId="0" xfId="0" applyFont="1" applyAlignment="1">
      <alignment vertical="center"/>
    </xf>
    <xf numFmtId="0" fontId="48" fillId="0" borderId="10" xfId="0" applyFont="1" applyBorder="1" applyAlignment="1">
      <alignment horizontal="center" vertical="center"/>
    </xf>
    <xf numFmtId="0" fontId="42" fillId="0" borderId="10" xfId="0" applyFont="1" applyBorder="1" applyAlignment="1">
      <alignment horizontal="center" vertical="center" wrapText="1"/>
    </xf>
    <xf numFmtId="0" fontId="26" fillId="0" borderId="10" xfId="0" applyFont="1" applyBorder="1" applyAlignment="1">
      <alignment horizontal="center" vertical="center"/>
    </xf>
    <xf numFmtId="0" fontId="48" fillId="0" borderId="10" xfId="0" applyFont="1" applyBorder="1" applyAlignment="1">
      <alignment vertical="center"/>
    </xf>
    <xf numFmtId="0" fontId="69" fillId="0" borderId="0" xfId="0" applyFont="1" applyAlignment="1">
      <alignment vertical="center"/>
    </xf>
    <xf numFmtId="0" fontId="26" fillId="0" borderId="10" xfId="0" applyFont="1" applyBorder="1" applyAlignment="1">
      <alignment vertical="center"/>
    </xf>
    <xf numFmtId="0" fontId="26" fillId="0" borderId="10" xfId="0" applyFont="1" applyBorder="1" applyAlignment="1">
      <alignment horizontal="left" vertical="center" wrapText="1"/>
    </xf>
    <xf numFmtId="0" fontId="48" fillId="0" borderId="10" xfId="0" applyFont="1" applyBorder="1" applyAlignment="1">
      <alignment horizontal="left" vertical="center"/>
    </xf>
    <xf numFmtId="0" fontId="2" fillId="0" borderId="10" xfId="0" applyFont="1" applyBorder="1" applyAlignment="1">
      <alignment horizontal="center" vertical="center" wrapText="1"/>
    </xf>
    <xf numFmtId="0" fontId="20" fillId="0" borderId="10" xfId="0" applyFont="1" applyBorder="1" applyAlignment="1">
      <alignment vertical="center"/>
    </xf>
    <xf numFmtId="0" fontId="48" fillId="0" borderId="12" xfId="0" applyFont="1" applyBorder="1" applyAlignment="1">
      <alignment horizontal="center" vertical="center" wrapText="1"/>
    </xf>
    <xf numFmtId="0" fontId="48" fillId="0" borderId="10" xfId="0" applyFont="1" applyBorder="1" applyAlignment="1">
      <alignment horizontal="center" vertical="center" wrapText="1"/>
    </xf>
    <xf numFmtId="178" fontId="49" fillId="0" borderId="10" xfId="46" applyNumberFormat="1" applyFont="1" applyFill="1" applyBorder="1" applyAlignment="1">
      <alignment horizontal="center" vertical="center" wrapText="1"/>
      <protection/>
    </xf>
    <xf numFmtId="179" fontId="50" fillId="0" borderId="10" xfId="47" applyNumberFormat="1" applyFont="1" applyFill="1" applyBorder="1" applyAlignment="1">
      <alignment horizontal="center" vertical="center" wrapText="1"/>
      <protection/>
    </xf>
    <xf numFmtId="179" fontId="51" fillId="0" borderId="10" xfId="47" applyNumberFormat="1" applyFont="1" applyFill="1" applyBorder="1" applyAlignment="1">
      <alignment horizontal="center" vertical="center" wrapText="1"/>
      <protection/>
    </xf>
    <xf numFmtId="179" fontId="51" fillId="0" borderId="13" xfId="47" applyNumberFormat="1" applyFont="1" applyFill="1" applyBorder="1" applyAlignment="1">
      <alignment horizontal="center" vertical="center" wrapText="1"/>
      <protection/>
    </xf>
    <xf numFmtId="0" fontId="48" fillId="0" borderId="10" xfId="0" applyFont="1" applyBorder="1" applyAlignment="1">
      <alignment horizontal="left" vertical="center" wrapText="1"/>
    </xf>
    <xf numFmtId="0" fontId="52" fillId="0" borderId="10" xfId="0" applyFont="1" applyBorder="1" applyAlignment="1">
      <alignment horizontal="left" vertical="center" wrapText="1"/>
    </xf>
    <xf numFmtId="0" fontId="42" fillId="0" borderId="14" xfId="0" applyFont="1" applyBorder="1" applyAlignment="1">
      <alignment horizontal="left" vertical="center"/>
    </xf>
    <xf numFmtId="182" fontId="20" fillId="0" borderId="10" xfId="0" applyNumberFormat="1" applyFont="1" applyBorder="1" applyAlignment="1">
      <alignment horizontal="center" vertical="center"/>
    </xf>
    <xf numFmtId="182" fontId="20"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42" fillId="0" borderId="14" xfId="61" applyFont="1" applyFill="1" applyBorder="1" applyAlignment="1">
      <alignment horizontal="center" vertical="center"/>
      <protection/>
    </xf>
    <xf numFmtId="0" fontId="0" fillId="0" borderId="0" xfId="0" applyBorder="1" applyAlignment="1">
      <alignment horizontal="center" vertical="center"/>
    </xf>
    <xf numFmtId="0" fontId="3" fillId="0" borderId="0"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3"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left" vertical="center"/>
    </xf>
    <xf numFmtId="177" fontId="2" fillId="0" borderId="10" xfId="0" applyNumberFormat="1" applyFont="1" applyBorder="1" applyAlignment="1">
      <alignment horizontal="center" vertical="center"/>
    </xf>
    <xf numFmtId="0" fontId="2" fillId="0" borderId="0" xfId="0" applyFont="1" applyAlignment="1">
      <alignment vertical="center"/>
    </xf>
    <xf numFmtId="0" fontId="20" fillId="0" borderId="10" xfId="0" applyFont="1" applyBorder="1" applyAlignment="1">
      <alignment horizontal="center" vertical="center" wrapText="1"/>
    </xf>
    <xf numFmtId="0" fontId="26" fillId="0" borderId="10" xfId="0" applyFont="1" applyBorder="1" applyAlignment="1">
      <alignment horizontal="left" vertical="center" wrapText="1"/>
    </xf>
    <xf numFmtId="179" fontId="2" fillId="0" borderId="10" xfId="70" applyNumberFormat="1" applyFont="1" applyFill="1" applyBorder="1" applyAlignment="1">
      <alignment horizontal="center" vertical="center" wrapText="1"/>
      <protection/>
    </xf>
    <xf numFmtId="178" fontId="2" fillId="0" borderId="10" xfId="70" applyNumberFormat="1" applyFont="1" applyFill="1" applyBorder="1" applyAlignment="1">
      <alignment horizontal="center" vertical="center" wrapText="1"/>
      <protection/>
    </xf>
    <xf numFmtId="182" fontId="34" fillId="0" borderId="10" xfId="0" applyNumberFormat="1" applyFont="1" applyBorder="1" applyAlignment="1">
      <alignment horizontal="center" vertical="center"/>
    </xf>
    <xf numFmtId="182" fontId="2" fillId="0" borderId="10" xfId="0" applyNumberFormat="1" applyFont="1" applyBorder="1" applyAlignment="1">
      <alignment horizontal="center" vertical="center" wrapText="1"/>
    </xf>
    <xf numFmtId="182" fontId="51" fillId="0" borderId="10" xfId="0" applyNumberFormat="1" applyFont="1" applyBorder="1" applyAlignment="1">
      <alignment horizontal="center" vertical="center"/>
    </xf>
    <xf numFmtId="182" fontId="42" fillId="0" borderId="10" xfId="0" applyNumberFormat="1" applyFont="1" applyBorder="1" applyAlignment="1">
      <alignment horizontal="center" vertical="center" wrapText="1"/>
    </xf>
    <xf numFmtId="0" fontId="28" fillId="0" borderId="10" xfId="0" applyNumberFormat="1" applyFont="1" applyBorder="1" applyAlignment="1">
      <alignment horizontal="center" vertical="center"/>
    </xf>
    <xf numFmtId="177" fontId="3" fillId="0" borderId="10" xfId="0" applyNumberFormat="1" applyFont="1" applyBorder="1" applyAlignment="1">
      <alignment horizontal="center" vertical="center"/>
    </xf>
    <xf numFmtId="184" fontId="2" fillId="0" borderId="10" xfId="0" applyNumberFormat="1" applyFont="1" applyBorder="1" applyAlignment="1">
      <alignment horizontal="center" vertical="center"/>
    </xf>
    <xf numFmtId="0" fontId="34" fillId="0" borderId="10" xfId="0" applyFont="1" applyBorder="1" applyAlignment="1">
      <alignment horizontal="center" vertical="center"/>
    </xf>
    <xf numFmtId="0" fontId="2" fillId="0" borderId="10" xfId="0" applyFont="1" applyFill="1" applyBorder="1" applyAlignment="1">
      <alignment horizontal="center" vertical="center"/>
    </xf>
    <xf numFmtId="0" fontId="34" fillId="0" borderId="10" xfId="0" applyFont="1" applyBorder="1" applyAlignment="1">
      <alignment vertical="center"/>
    </xf>
    <xf numFmtId="177" fontId="51" fillId="0" borderId="10" xfId="0" applyNumberFormat="1" applyFont="1" applyBorder="1" applyAlignment="1">
      <alignment horizontal="center" vertical="center"/>
    </xf>
    <xf numFmtId="0" fontId="2" fillId="0" borderId="10" xfId="55" applyFont="1" applyBorder="1" applyAlignment="1">
      <alignment horizontal="center" vertical="center" wrapText="1"/>
      <protection/>
    </xf>
    <xf numFmtId="177" fontId="2" fillId="0" borderId="10" xfId="0" applyNumberFormat="1" applyFont="1" applyBorder="1" applyAlignment="1">
      <alignment horizontal="center" vertical="center" wrapText="1"/>
    </xf>
    <xf numFmtId="0" fontId="34" fillId="0" borderId="10" xfId="0" applyFont="1" applyBorder="1" applyAlignment="1">
      <alignment vertical="center"/>
    </xf>
    <xf numFmtId="0" fontId="34" fillId="0" borderId="0" xfId="0" applyFont="1" applyAlignment="1">
      <alignment vertical="center"/>
    </xf>
    <xf numFmtId="0" fontId="42" fillId="0" borderId="10" xfId="0" applyFont="1" applyBorder="1" applyAlignment="1">
      <alignment horizontal="center" vertical="center"/>
    </xf>
    <xf numFmtId="0" fontId="42" fillId="0" borderId="14" xfId="0" applyFont="1" applyBorder="1" applyAlignment="1">
      <alignment horizontal="center" vertical="center" wrapText="1"/>
    </xf>
    <xf numFmtId="180" fontId="42" fillId="0" borderId="16" xfId="0" applyNumberFormat="1" applyFont="1" applyBorder="1" applyAlignment="1">
      <alignment horizontal="center" vertical="center" wrapText="1"/>
    </xf>
    <xf numFmtId="180" fontId="42" fillId="0" borderId="10" xfId="0" applyNumberFormat="1" applyFont="1" applyBorder="1" applyAlignment="1">
      <alignment horizontal="center" vertical="center" wrapText="1"/>
    </xf>
    <xf numFmtId="180" fontId="2" fillId="0" borderId="15" xfId="0" applyNumberFormat="1" applyFont="1" applyBorder="1" applyAlignment="1">
      <alignment horizontal="center" vertical="center"/>
    </xf>
    <xf numFmtId="180" fontId="2" fillId="0" borderId="10" xfId="0" applyNumberFormat="1" applyFont="1" applyBorder="1" applyAlignment="1">
      <alignment horizontal="center" vertical="center"/>
    </xf>
    <xf numFmtId="179" fontId="2" fillId="0" borderId="10" xfId="0" applyNumberFormat="1" applyFont="1" applyBorder="1" applyAlignment="1">
      <alignment horizontal="center" vertical="center" wrapText="1"/>
    </xf>
    <xf numFmtId="0" fontId="42" fillId="0" borderId="10" xfId="0" applyFont="1" applyBorder="1" applyAlignment="1">
      <alignment vertical="center"/>
    </xf>
    <xf numFmtId="0" fontId="2" fillId="0" borderId="10" xfId="0" applyFont="1" applyFill="1" applyBorder="1" applyAlignment="1">
      <alignment horizontal="left" vertical="center"/>
    </xf>
    <xf numFmtId="180" fontId="2" fillId="0" borderId="15" xfId="0" applyNumberFormat="1" applyFont="1" applyFill="1" applyBorder="1" applyAlignment="1">
      <alignment horizontal="center" vertical="center"/>
    </xf>
    <xf numFmtId="184" fontId="2" fillId="0" borderId="10"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184" fontId="2" fillId="0" borderId="13" xfId="0" applyNumberFormat="1" applyFont="1" applyFill="1" applyBorder="1" applyAlignment="1">
      <alignment horizontal="center" vertical="center"/>
    </xf>
    <xf numFmtId="180" fontId="2" fillId="0" borderId="13" xfId="0" applyNumberFormat="1" applyFont="1" applyBorder="1" applyAlignment="1">
      <alignment horizontal="center" vertical="center"/>
    </xf>
    <xf numFmtId="0" fontId="2" fillId="0" borderId="10" xfId="0" applyNumberFormat="1" applyFont="1" applyBorder="1" applyAlignment="1">
      <alignment horizontal="left" vertical="center" wrapText="1"/>
    </xf>
    <xf numFmtId="185"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83" fontId="2" fillId="0" borderId="10" xfId="0" applyNumberFormat="1" applyFont="1" applyBorder="1" applyAlignment="1">
      <alignment horizontal="center" vertical="center" wrapText="1"/>
    </xf>
    <xf numFmtId="181" fontId="2" fillId="0" borderId="10" xfId="0" applyNumberFormat="1" applyFont="1" applyBorder="1" applyAlignment="1">
      <alignment horizontal="center" vertical="center" wrapText="1"/>
    </xf>
    <xf numFmtId="0" fontId="2" fillId="0" borderId="10" xfId="0" applyNumberFormat="1" applyFont="1" applyBorder="1" applyAlignment="1">
      <alignment vertical="center" wrapText="1"/>
    </xf>
    <xf numFmtId="0" fontId="34" fillId="0" borderId="0" xfId="0" applyFont="1" applyAlignment="1">
      <alignment horizontal="left" vertical="center"/>
    </xf>
    <xf numFmtId="0" fontId="34" fillId="0" borderId="0" xfId="0" applyFont="1" applyAlignment="1">
      <alignment horizontal="center" vertical="center"/>
    </xf>
    <xf numFmtId="179" fontId="34" fillId="0" borderId="0" xfId="0" applyNumberFormat="1" applyFont="1" applyAlignment="1">
      <alignment horizontal="center"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52" fillId="0" borderId="10" xfId="0" applyFont="1" applyBorder="1" applyAlignment="1">
      <alignment horizontal="left" vertical="center" wrapText="1"/>
    </xf>
    <xf numFmtId="0" fontId="57" fillId="0" borderId="10" xfId="71" applyFont="1" applyFill="1" applyBorder="1" applyAlignment="1">
      <alignment horizontal="center" vertical="center" wrapText="1"/>
      <protection/>
    </xf>
    <xf numFmtId="0" fontId="57" fillId="0" borderId="10" xfId="0" applyFont="1" applyFill="1" applyBorder="1" applyAlignment="1">
      <alignment horizontal="center" vertical="center" wrapText="1"/>
    </xf>
    <xf numFmtId="0" fontId="0" fillId="0" borderId="0" xfId="0" applyAlignment="1">
      <alignment vertical="center" wrapText="1"/>
    </xf>
    <xf numFmtId="0" fontId="60" fillId="0" borderId="10"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10" xfId="0" applyFont="1" applyFill="1" applyBorder="1" applyAlignment="1">
      <alignment horizontal="center" vertical="center" wrapText="1"/>
    </xf>
    <xf numFmtId="0" fontId="61" fillId="0" borderId="15" xfId="0" applyFont="1" applyFill="1" applyBorder="1" applyAlignment="1">
      <alignment horizontal="center" vertical="center"/>
    </xf>
    <xf numFmtId="0" fontId="61" fillId="0" borderId="10" xfId="0" applyFont="1" applyBorder="1" applyAlignment="1">
      <alignment horizontal="center" vertical="center" wrapText="1"/>
    </xf>
    <xf numFmtId="0" fontId="61" fillId="0" borderId="10" xfId="0" applyNumberFormat="1" applyFont="1" applyBorder="1" applyAlignment="1">
      <alignment horizontal="center" vertical="center" wrapText="1"/>
    </xf>
    <xf numFmtId="0" fontId="61" fillId="0" borderId="10" xfId="0" applyFont="1" applyBorder="1" applyAlignment="1">
      <alignment horizontal="center" vertical="center"/>
    </xf>
    <xf numFmtId="0" fontId="61" fillId="0" borderId="10" xfId="0" applyFont="1" applyBorder="1" applyAlignment="1">
      <alignment horizontal="center"/>
    </xf>
    <xf numFmtId="0" fontId="61" fillId="0" borderId="10" xfId="0" applyFont="1" applyFill="1" applyBorder="1" applyAlignment="1">
      <alignment horizontal="center"/>
    </xf>
    <xf numFmtId="183" fontId="61" fillId="0" borderId="10" xfId="0" applyNumberFormat="1" applyFont="1" applyBorder="1" applyAlignment="1">
      <alignment horizontal="center" vertical="center" wrapText="1"/>
    </xf>
    <xf numFmtId="49" fontId="61" fillId="0" borderId="13" xfId="0" applyNumberFormat="1"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77" fontId="2" fillId="0" borderId="10" xfId="0" applyNumberFormat="1" applyFont="1" applyBorder="1" applyAlignment="1">
      <alignment horizontal="center" vertical="center" wrapText="1"/>
    </xf>
    <xf numFmtId="0" fontId="2" fillId="0" borderId="15" xfId="66" applyFont="1" applyFill="1" applyBorder="1" applyAlignment="1">
      <alignment horizontal="left" vertical="center" wrapText="1"/>
      <protection/>
    </xf>
    <xf numFmtId="0" fontId="26" fillId="0" borderId="10" xfId="63" applyFont="1" applyFill="1" applyBorder="1" applyAlignment="1">
      <alignment horizontal="left" vertical="center" wrapText="1"/>
      <protection/>
    </xf>
    <xf numFmtId="181" fontId="25" fillId="0" borderId="10" xfId="0" applyNumberFormat="1" applyFont="1" applyFill="1" applyBorder="1" applyAlignment="1">
      <alignment horizontal="left" vertical="center" wrapText="1"/>
    </xf>
    <xf numFmtId="180"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xf>
    <xf numFmtId="180" fontId="26" fillId="0" borderId="10" xfId="0" applyNumberFormat="1" applyFont="1" applyFill="1" applyBorder="1" applyAlignment="1">
      <alignment horizontal="center" vertical="center"/>
    </xf>
    <xf numFmtId="180"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Border="1" applyAlignment="1">
      <alignment horizontal="center" vertical="center"/>
    </xf>
    <xf numFmtId="0" fontId="2" fillId="0" borderId="10" xfId="73" applyFont="1" applyFill="1" applyBorder="1" applyAlignment="1">
      <alignment horizontal="center" vertical="center" wrapText="1"/>
      <protection/>
    </xf>
    <xf numFmtId="0" fontId="42" fillId="0" borderId="10" xfId="15" applyFont="1" applyFill="1" applyBorder="1" applyAlignment="1">
      <alignment horizontal="center" vertical="center" wrapText="1"/>
      <protection/>
    </xf>
    <xf numFmtId="0" fontId="48" fillId="0"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0" borderId="10" xfId="0" applyNumberFormat="1" applyFont="1" applyBorder="1" applyAlignment="1">
      <alignment horizontal="center" vertical="center" wrapText="1"/>
    </xf>
    <xf numFmtId="178" fontId="0" fillId="0" borderId="0" xfId="0" applyNumberFormat="1" applyAlignment="1">
      <alignment vertical="center"/>
    </xf>
    <xf numFmtId="0" fontId="46" fillId="0" borderId="10" xfId="15" applyNumberFormat="1" applyFont="1" applyFill="1" applyBorder="1" applyAlignment="1">
      <alignment horizontal="left" vertical="center" wrapText="1"/>
      <protection/>
    </xf>
    <xf numFmtId="0" fontId="46" fillId="0" borderId="10" xfId="0" applyNumberFormat="1" applyFont="1" applyFill="1" applyBorder="1" applyAlignment="1">
      <alignment horizontal="left" vertical="center" wrapText="1"/>
    </xf>
    <xf numFmtId="0" fontId="46" fillId="0" borderId="10"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20" fillId="0" borderId="0" xfId="0" applyFont="1" applyBorder="1" applyAlignment="1">
      <alignment vertical="center"/>
    </xf>
    <xf numFmtId="0" fontId="26" fillId="0" borderId="0" xfId="0" applyFont="1" applyBorder="1" applyAlignment="1">
      <alignment vertical="center"/>
    </xf>
    <xf numFmtId="0" fontId="26" fillId="0" borderId="10" xfId="0" applyFont="1" applyBorder="1" applyAlignment="1">
      <alignment horizontal="center" vertical="center"/>
    </xf>
    <xf numFmtId="0" fontId="2" fillId="0" borderId="10" xfId="73" applyFont="1" applyFill="1" applyBorder="1" applyAlignment="1">
      <alignment horizontal="center" vertical="center"/>
      <protection/>
    </xf>
    <xf numFmtId="0" fontId="26" fillId="0" borderId="10" xfId="0" applyFont="1" applyFill="1" applyBorder="1" applyAlignment="1">
      <alignment horizontal="center" vertical="center"/>
    </xf>
    <xf numFmtId="0" fontId="26" fillId="0" borderId="10" xfId="73" applyFont="1" applyFill="1" applyBorder="1" applyAlignment="1">
      <alignment horizontal="center" vertical="center"/>
      <protection/>
    </xf>
    <xf numFmtId="0" fontId="26" fillId="0" borderId="0" xfId="0" applyNumberFormat="1" applyFont="1" applyBorder="1" applyAlignment="1">
      <alignment horizontal="center" vertical="center" wrapText="1"/>
    </xf>
    <xf numFmtId="0" fontId="46" fillId="0" borderId="0" xfId="15" applyNumberFormat="1" applyFont="1" applyFill="1" applyBorder="1" applyAlignment="1">
      <alignment horizontal="center" vertical="center" wrapText="1"/>
      <protection/>
    </xf>
    <xf numFmtId="0" fontId="46" fillId="0" borderId="0" xfId="0" applyNumberFormat="1" applyFont="1" applyFill="1" applyBorder="1" applyAlignment="1">
      <alignment horizontal="center" vertical="center" wrapText="1"/>
    </xf>
    <xf numFmtId="0" fontId="47" fillId="0" borderId="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177" fontId="42" fillId="0" borderId="10" xfId="0" applyNumberFormat="1" applyFont="1" applyBorder="1" applyAlignment="1">
      <alignment horizontal="center" vertical="center" wrapText="1"/>
    </xf>
    <xf numFmtId="177" fontId="42" fillId="0" borderId="10" xfId="0" applyNumberFormat="1" applyFont="1" applyBorder="1" applyAlignment="1">
      <alignment horizontal="center" vertical="center" wrapText="1"/>
    </xf>
    <xf numFmtId="0" fontId="48" fillId="0" borderId="10" xfId="0" applyNumberFormat="1" applyFont="1" applyBorder="1" applyAlignment="1">
      <alignment horizontal="center" vertical="center"/>
    </xf>
    <xf numFmtId="0" fontId="48" fillId="0" borderId="10" xfId="0" applyFont="1" applyBorder="1" applyAlignment="1">
      <alignment horizontal="center" vertical="center"/>
    </xf>
    <xf numFmtId="0" fontId="2" fillId="0" borderId="10" xfId="73" applyNumberFormat="1" applyFont="1" applyFill="1" applyBorder="1" applyAlignment="1">
      <alignment horizontal="center" vertical="center"/>
      <protection/>
    </xf>
    <xf numFmtId="0" fontId="26" fillId="0" borderId="10" xfId="73" applyNumberFormat="1" applyFont="1" applyFill="1" applyBorder="1" applyAlignment="1">
      <alignment horizontal="center" vertical="center"/>
      <protection/>
    </xf>
    <xf numFmtId="176" fontId="26" fillId="0" borderId="10" xfId="0" applyNumberFormat="1" applyFont="1" applyBorder="1" applyAlignment="1">
      <alignment horizontal="center" vertical="center"/>
    </xf>
    <xf numFmtId="0" fontId="42" fillId="0" borderId="15" xfId="0" applyFont="1" applyBorder="1" applyAlignment="1">
      <alignment horizontal="center" vertical="center" wrapText="1"/>
    </xf>
    <xf numFmtId="0" fontId="26" fillId="0" borderId="12" xfId="0" applyFont="1" applyBorder="1" applyAlignment="1">
      <alignment horizontal="center" vertical="center"/>
    </xf>
    <xf numFmtId="177" fontId="48" fillId="0" borderId="10" xfId="0" applyNumberFormat="1" applyFont="1" applyBorder="1" applyAlignment="1">
      <alignment horizontal="center" vertical="center"/>
    </xf>
    <xf numFmtId="177" fontId="48" fillId="0" borderId="15" xfId="0" applyNumberFormat="1" applyFont="1" applyBorder="1" applyAlignment="1">
      <alignment horizontal="center" vertical="center"/>
    </xf>
    <xf numFmtId="186" fontId="26" fillId="0" borderId="10" xfId="0" applyNumberFormat="1" applyFont="1" applyBorder="1" applyAlignment="1">
      <alignment horizontal="center" vertical="center" wrapText="1"/>
    </xf>
    <xf numFmtId="186" fontId="26" fillId="0" borderId="10" xfId="0" applyNumberFormat="1" applyFont="1" applyBorder="1" applyAlignment="1">
      <alignment horizontal="center" vertical="center"/>
    </xf>
    <xf numFmtId="0" fontId="42" fillId="0" borderId="10" xfId="0" applyNumberFormat="1" applyFont="1" applyBorder="1" applyAlignment="1">
      <alignment horizontal="center" vertical="center" wrapText="1"/>
    </xf>
    <xf numFmtId="0" fontId="26" fillId="0" borderId="0" xfId="0" applyFont="1" applyBorder="1" applyAlignment="1">
      <alignment horizontal="center" vertical="center"/>
    </xf>
    <xf numFmtId="0" fontId="70" fillId="0" borderId="0" xfId="0" applyFont="1" applyAlignment="1">
      <alignment vertical="center"/>
    </xf>
    <xf numFmtId="0" fontId="26" fillId="0" borderId="0" xfId="0" applyFont="1" applyFill="1" applyBorder="1" applyAlignment="1">
      <alignment horizontal="center" vertical="center"/>
    </xf>
    <xf numFmtId="176" fontId="46" fillId="0" borderId="10" xfId="15" applyNumberFormat="1" applyFont="1" applyFill="1" applyBorder="1" applyAlignment="1">
      <alignment horizontal="center" vertical="center" wrapText="1"/>
      <protection/>
    </xf>
    <xf numFmtId="176" fontId="46" fillId="0" borderId="10" xfId="0" applyNumberFormat="1" applyFont="1" applyBorder="1" applyAlignment="1">
      <alignment horizontal="center" vertical="center"/>
    </xf>
    <xf numFmtId="0" fontId="41" fillId="0" borderId="10" xfId="0" applyFont="1" applyBorder="1" applyAlignment="1">
      <alignment horizontal="center" vertical="center" wrapText="1"/>
    </xf>
    <xf numFmtId="0" fontId="34" fillId="0" borderId="0" xfId="0" applyFont="1" applyAlignment="1">
      <alignment vertical="center"/>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34" fillId="0" borderId="0" xfId="0" applyFont="1" applyBorder="1" applyAlignment="1">
      <alignment vertical="center"/>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0" xfId="0" applyFont="1" applyAlignment="1">
      <alignment vertical="center"/>
    </xf>
    <xf numFmtId="0" fontId="3" fillId="0" borderId="10" xfId="0" applyFont="1" applyBorder="1" applyAlignment="1">
      <alignment horizontal="center" vertical="center"/>
    </xf>
    <xf numFmtId="0" fontId="2" fillId="0" borderId="10" xfId="50" applyNumberFormat="1" applyFont="1" applyFill="1" applyBorder="1" applyAlignment="1">
      <alignment horizontal="center" vertical="center" shrinkToFit="1"/>
      <protection/>
    </xf>
    <xf numFmtId="0" fontId="2" fillId="0" borderId="10" xfId="63" applyFont="1" applyFill="1" applyBorder="1" applyAlignment="1">
      <alignment horizontal="center" vertical="center" wrapText="1"/>
      <protection/>
    </xf>
    <xf numFmtId="181" fontId="2" fillId="0" borderId="10" xfId="0" applyNumberFormat="1" applyFont="1" applyFill="1" applyBorder="1" applyAlignment="1">
      <alignment horizontal="center" vertical="center" wrapText="1"/>
    </xf>
    <xf numFmtId="0" fontId="2" fillId="0" borderId="10" xfId="66" applyFont="1" applyFill="1" applyBorder="1" applyAlignment="1">
      <alignment horizontal="center" vertical="center" wrapText="1"/>
      <protection/>
    </xf>
    <xf numFmtId="178" fontId="2" fillId="0" borderId="10" xfId="66" applyNumberFormat="1" applyFont="1" applyFill="1" applyBorder="1" applyAlignment="1">
      <alignment horizontal="center" vertical="center" wrapText="1"/>
      <protection/>
    </xf>
    <xf numFmtId="179" fontId="2" fillId="0" borderId="10" xfId="66"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75" applyNumberFormat="1" applyFont="1" applyFill="1" applyBorder="1" applyAlignment="1">
      <alignment horizontal="center" vertical="center" wrapText="1"/>
      <protection/>
    </xf>
    <xf numFmtId="180" fontId="2" fillId="0" borderId="10" xfId="75" applyNumberFormat="1" applyFont="1" applyFill="1" applyBorder="1" applyAlignment="1">
      <alignment horizontal="center" vertical="center" wrapText="1"/>
      <protection/>
    </xf>
    <xf numFmtId="178" fontId="2" fillId="0" borderId="10" xfId="75" applyNumberFormat="1" applyFont="1" applyFill="1" applyBorder="1" applyAlignment="1">
      <alignment horizontal="center" vertical="center" wrapText="1"/>
      <protection/>
    </xf>
    <xf numFmtId="178" fontId="2" fillId="0" borderId="10" xfId="50" applyNumberFormat="1" applyFont="1" applyFill="1" applyBorder="1" applyAlignment="1">
      <alignment horizontal="center" vertical="center" wrapText="1"/>
      <protection/>
    </xf>
    <xf numFmtId="0" fontId="2" fillId="0" borderId="10" xfId="66" applyNumberFormat="1" applyFont="1" applyFill="1" applyBorder="1" applyAlignment="1">
      <alignment horizontal="center" vertical="center" wrapText="1"/>
      <protection/>
    </xf>
    <xf numFmtId="179" fontId="2" fillId="0" borderId="10" xfId="75" applyNumberFormat="1" applyFont="1" applyFill="1" applyBorder="1" applyAlignment="1">
      <alignment horizontal="center" vertical="center" wrapText="1"/>
      <protection/>
    </xf>
    <xf numFmtId="178" fontId="2" fillId="0" borderId="12" xfId="75" applyNumberFormat="1" applyFont="1" applyFill="1" applyBorder="1" applyAlignment="1">
      <alignment horizontal="center" vertical="center" wrapText="1"/>
      <protection/>
    </xf>
    <xf numFmtId="178" fontId="2" fillId="0" borderId="10" xfId="67"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178" fontId="2" fillId="0" borderId="10" xfId="50" applyNumberFormat="1" applyFont="1" applyFill="1" applyBorder="1" applyAlignment="1">
      <alignment horizontal="center" vertical="center" wrapText="1" shrinkToFit="1"/>
      <protection/>
    </xf>
    <xf numFmtId="180" fontId="2" fillId="0" borderId="10" xfId="66" applyNumberFormat="1" applyFont="1" applyFill="1" applyBorder="1" applyAlignment="1">
      <alignment horizontal="center" vertical="center" wrapText="1"/>
      <protection/>
    </xf>
    <xf numFmtId="180" fontId="2" fillId="0" borderId="10" xfId="67" applyNumberFormat="1" applyFont="1" applyFill="1" applyBorder="1" applyAlignment="1">
      <alignment horizontal="center" vertical="center" wrapText="1"/>
      <protection/>
    </xf>
    <xf numFmtId="180" fontId="2" fillId="0" borderId="10" xfId="50" applyNumberFormat="1"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181" fontId="2" fillId="0" borderId="10" xfId="0" applyNumberFormat="1" applyFont="1" applyFill="1" applyBorder="1" applyAlignment="1">
      <alignment horizontal="center" vertical="center" wrapText="1"/>
    </xf>
    <xf numFmtId="178" fontId="2" fillId="0" borderId="10" xfId="50" applyNumberFormat="1" applyFont="1" applyFill="1" applyBorder="1" applyAlignment="1">
      <alignment horizontal="center" vertical="center" shrinkToFit="1"/>
      <protection/>
    </xf>
    <xf numFmtId="0" fontId="2" fillId="0" borderId="10" xfId="0" applyFont="1" applyBorder="1" applyAlignment="1">
      <alignment horizontal="center" vertical="center"/>
    </xf>
    <xf numFmtId="0" fontId="2" fillId="0" borderId="10" xfId="35"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180" fontId="2" fillId="0" borderId="10" xfId="0" applyNumberFormat="1" applyFont="1" applyFill="1" applyBorder="1" applyAlignment="1">
      <alignment horizontal="center" vertical="center"/>
    </xf>
    <xf numFmtId="179" fontId="2" fillId="0" borderId="10" xfId="0" applyNumberFormat="1" applyFont="1" applyFill="1" applyBorder="1" applyAlignment="1">
      <alignment horizontal="center" vertical="center"/>
    </xf>
    <xf numFmtId="178" fontId="25" fillId="0" borderId="10" xfId="64" applyNumberFormat="1" applyFont="1" applyFill="1" applyBorder="1" applyAlignment="1">
      <alignment horizontal="center" vertical="center" wrapText="1"/>
      <protection/>
    </xf>
    <xf numFmtId="179" fontId="25" fillId="0" borderId="10" xfId="64" applyNumberFormat="1" applyFont="1" applyFill="1" applyBorder="1" applyAlignment="1">
      <alignment horizontal="center" vertical="center" wrapText="1"/>
      <protection/>
    </xf>
    <xf numFmtId="0" fontId="25" fillId="0" borderId="10" xfId="64" applyFont="1" applyFill="1" applyBorder="1" applyAlignment="1">
      <alignment horizontal="center" vertical="center" wrapText="1"/>
      <protection/>
    </xf>
    <xf numFmtId="179" fontId="25" fillId="0" borderId="10" xfId="56" applyNumberFormat="1" applyFont="1" applyFill="1" applyBorder="1" applyAlignment="1">
      <alignment horizontal="center" vertical="center" wrapText="1"/>
      <protection/>
    </xf>
    <xf numFmtId="2" fontId="25" fillId="0" borderId="10" xfId="64" applyNumberFormat="1" applyFont="1" applyFill="1" applyBorder="1" applyAlignment="1">
      <alignment horizontal="center" vertical="center" wrapText="1"/>
      <protection/>
    </xf>
    <xf numFmtId="0" fontId="2" fillId="0" borderId="10" xfId="72" applyFont="1" applyFill="1" applyBorder="1" applyAlignment="1">
      <alignment horizontal="center" vertical="center" wrapText="1"/>
      <protection/>
    </xf>
    <xf numFmtId="18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179" fontId="2" fillId="0" borderId="10" xfId="0" applyNumberFormat="1" applyFont="1" applyFill="1" applyBorder="1" applyAlignment="1">
      <alignment horizontal="center" vertical="center"/>
    </xf>
    <xf numFmtId="0" fontId="34" fillId="0" borderId="0" xfId="0" applyFont="1" applyFill="1" applyAlignment="1">
      <alignment vertical="center"/>
    </xf>
    <xf numFmtId="0" fontId="2" fillId="0" borderId="0" xfId="34" applyFont="1" applyFill="1" applyAlignment="1">
      <alignment vertical="center"/>
      <protection/>
    </xf>
    <xf numFmtId="0" fontId="2" fillId="0" borderId="10" xfId="34" applyFont="1" applyFill="1" applyBorder="1" applyAlignment="1">
      <alignment horizontal="center" vertical="center" wrapText="1"/>
      <protection/>
    </xf>
    <xf numFmtId="0" fontId="2" fillId="0" borderId="10" xfId="34" applyNumberFormat="1" applyFont="1" applyFill="1" applyBorder="1" applyAlignment="1">
      <alignment horizontal="center" vertical="center" wrapText="1"/>
      <protection/>
    </xf>
    <xf numFmtId="0" fontId="2" fillId="0" borderId="10" xfId="34" applyFont="1" applyFill="1" applyBorder="1" applyAlignment="1">
      <alignment horizontal="center" vertical="center"/>
      <protection/>
    </xf>
    <xf numFmtId="0" fontId="2" fillId="0" borderId="0" xfId="34" applyFont="1" applyFill="1" applyAlignment="1">
      <alignment horizontal="center" vertical="center"/>
      <protection/>
    </xf>
    <xf numFmtId="0" fontId="2" fillId="0" borderId="10" xfId="34" applyNumberFormat="1" applyFont="1" applyFill="1" applyBorder="1" applyAlignment="1">
      <alignment horizontal="center" vertical="center"/>
      <protection/>
    </xf>
    <xf numFmtId="0" fontId="3" fillId="0" borderId="10" xfId="34" applyFont="1" applyFill="1" applyBorder="1" applyAlignment="1">
      <alignment horizontal="center" vertical="center" wrapText="1"/>
      <protection/>
    </xf>
    <xf numFmtId="0" fontId="28" fillId="0" borderId="10" xfId="34" applyFont="1" applyFill="1" applyBorder="1" applyAlignment="1">
      <alignment horizontal="center" vertical="center" wrapText="1"/>
      <protection/>
    </xf>
    <xf numFmtId="0" fontId="3" fillId="0" borderId="10" xfId="34" applyFont="1" applyFill="1" applyBorder="1" applyAlignment="1">
      <alignment horizontal="center" vertical="center"/>
      <protection/>
    </xf>
    <xf numFmtId="0" fontId="3" fillId="0" borderId="10" xfId="34" applyNumberFormat="1" applyFont="1" applyFill="1" applyBorder="1" applyAlignment="1">
      <alignment horizontal="center" vertical="center" wrapText="1"/>
      <protection/>
    </xf>
    <xf numFmtId="177" fontId="2" fillId="0" borderId="10" xfId="34" applyNumberFormat="1" applyFont="1" applyFill="1" applyBorder="1" applyAlignment="1">
      <alignment horizontal="center" vertical="center"/>
      <protection/>
    </xf>
    <xf numFmtId="0" fontId="1" fillId="0" borderId="0" xfId="34" applyFont="1" applyFill="1" applyAlignment="1">
      <alignment vertical="center"/>
      <protection/>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10" xfId="66" applyFont="1" applyBorder="1" applyAlignment="1">
      <alignment horizontal="center" vertical="center" wrapText="1"/>
      <protection/>
    </xf>
    <xf numFmtId="177" fontId="2" fillId="0" borderId="10" xfId="56" applyNumberFormat="1" applyFont="1" applyFill="1" applyBorder="1" applyAlignment="1">
      <alignment horizontal="center" vertical="center" wrapText="1"/>
      <protection/>
    </xf>
    <xf numFmtId="182" fontId="2" fillId="0" borderId="10" xfId="0" applyNumberFormat="1" applyFont="1" applyBorder="1" applyAlignment="1">
      <alignment horizontal="center" vertical="center"/>
    </xf>
    <xf numFmtId="182" fontId="3" fillId="0" borderId="10" xfId="0" applyNumberFormat="1" applyFont="1" applyBorder="1" applyAlignment="1">
      <alignment horizontal="center" vertical="center"/>
    </xf>
    <xf numFmtId="0" fontId="2" fillId="0" borderId="10" xfId="45" applyFont="1" applyFill="1" applyBorder="1" applyAlignment="1" applyProtection="1">
      <alignment horizontal="center" vertical="center" wrapText="1"/>
      <protection locked="0"/>
    </xf>
    <xf numFmtId="0" fontId="2" fillId="0" borderId="10" xfId="0" applyNumberFormat="1" applyFont="1" applyBorder="1" applyAlignment="1">
      <alignment horizontal="center" vertical="center"/>
    </xf>
    <xf numFmtId="0" fontId="2" fillId="0" borderId="10" xfId="0" applyNumberFormat="1" applyFont="1" applyFill="1" applyBorder="1" applyAlignment="1">
      <alignment horizontal="center" vertical="center"/>
    </xf>
    <xf numFmtId="0" fontId="3" fillId="0" borderId="10" xfId="0" applyNumberFormat="1" applyFont="1" applyBorder="1" applyAlignment="1">
      <alignment horizontal="center" vertical="center"/>
    </xf>
    <xf numFmtId="0" fontId="3" fillId="0" borderId="10" xfId="45" applyFont="1" applyFill="1" applyBorder="1" applyAlignment="1" applyProtection="1">
      <alignment horizontal="center" vertical="center" wrapText="1"/>
      <protection locked="0"/>
    </xf>
    <xf numFmtId="178" fontId="2" fillId="0" borderId="10" xfId="65" applyNumberFormat="1" applyFont="1" applyFill="1" applyBorder="1" applyAlignment="1">
      <alignment horizontal="center" vertical="center" wrapText="1"/>
      <protection/>
    </xf>
    <xf numFmtId="0" fontId="42" fillId="0" borderId="10" xfId="65" applyNumberFormat="1" applyFont="1" applyFill="1" applyBorder="1" applyAlignment="1">
      <alignment horizontal="center" vertical="center" wrapText="1"/>
      <protection/>
    </xf>
    <xf numFmtId="0" fontId="28" fillId="0" borderId="10" xfId="65" applyNumberFormat="1" applyFont="1" applyFill="1" applyBorder="1" applyAlignment="1">
      <alignment horizontal="center" vertical="center" wrapText="1"/>
      <protection/>
    </xf>
    <xf numFmtId="0" fontId="42" fillId="0" borderId="10"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xf>
    <xf numFmtId="0" fontId="51" fillId="0" borderId="0" xfId="0" applyNumberFormat="1" applyFont="1" applyAlignment="1">
      <alignment vertical="center"/>
    </xf>
    <xf numFmtId="178" fontId="2" fillId="0" borderId="10" xfId="54" applyNumberFormat="1" applyFont="1" applyFill="1" applyBorder="1" applyAlignment="1">
      <alignment horizontal="center" vertical="center" wrapText="1"/>
      <protection/>
    </xf>
    <xf numFmtId="179" fontId="3" fillId="0" borderId="10" xfId="65" applyNumberFormat="1" applyFont="1" applyFill="1" applyBorder="1" applyAlignment="1">
      <alignment horizontal="center" vertical="center" wrapText="1"/>
      <protection/>
    </xf>
    <xf numFmtId="179" fontId="3" fillId="0" borderId="10" xfId="0" applyNumberFormat="1" applyFont="1" applyFill="1" applyBorder="1" applyAlignment="1">
      <alignment horizontal="center" vertical="center"/>
    </xf>
    <xf numFmtId="178" fontId="3" fillId="0" borderId="10" xfId="65" applyNumberFormat="1" applyFont="1" applyFill="1" applyBorder="1" applyAlignment="1">
      <alignment horizontal="center" vertical="center" wrapText="1"/>
      <protection/>
    </xf>
    <xf numFmtId="181" fontId="3" fillId="0" borderId="10" xfId="65" applyNumberFormat="1" applyFont="1" applyFill="1" applyBorder="1" applyAlignment="1">
      <alignment horizontal="center" vertical="center" wrapText="1"/>
      <protection/>
    </xf>
    <xf numFmtId="179" fontId="3" fillId="0" borderId="11" xfId="65" applyNumberFormat="1" applyFont="1" applyFill="1" applyBorder="1" applyAlignment="1">
      <alignment horizontal="center" vertical="center" wrapText="1"/>
      <protection/>
    </xf>
    <xf numFmtId="0" fontId="28" fillId="0" borderId="13" xfId="0" applyFont="1" applyBorder="1" applyAlignment="1">
      <alignment horizontal="left" vertical="center"/>
    </xf>
    <xf numFmtId="0" fontId="28" fillId="0" borderId="13" xfId="0" applyFont="1" applyBorder="1" applyAlignment="1">
      <alignment horizontal="center" vertical="center" wrapText="1"/>
    </xf>
    <xf numFmtId="176" fontId="28" fillId="0" borderId="13" xfId="0" applyNumberFormat="1" applyFont="1" applyBorder="1" applyAlignment="1">
      <alignment horizontal="center" vertical="center" wrapText="1"/>
    </xf>
    <xf numFmtId="0" fontId="51" fillId="0" borderId="17" xfId="0" applyFont="1" applyBorder="1" applyAlignment="1">
      <alignment horizontal="center" vertical="center" wrapText="1"/>
    </xf>
    <xf numFmtId="0" fontId="51" fillId="0" borderId="0" xfId="0" applyFont="1" applyBorder="1" applyAlignment="1">
      <alignment vertical="center"/>
    </xf>
    <xf numFmtId="0" fontId="3" fillId="0" borderId="10" xfId="0" applyFont="1" applyBorder="1" applyAlignment="1">
      <alignment horizontal="left" vertical="center"/>
    </xf>
    <xf numFmtId="176" fontId="2" fillId="0" borderId="10" xfId="0" applyNumberFormat="1" applyFont="1" applyBorder="1" applyAlignment="1">
      <alignment horizontal="center" vertical="center"/>
    </xf>
    <xf numFmtId="0" fontId="3" fillId="0" borderId="15" xfId="0" applyFont="1" applyBorder="1" applyAlignment="1">
      <alignment horizontal="center" vertical="center"/>
    </xf>
    <xf numFmtId="0" fontId="3" fillId="0" borderId="0"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83" fontId="2" fillId="0" borderId="15" xfId="0" applyNumberFormat="1" applyFont="1" applyBorder="1" applyAlignment="1">
      <alignment horizontal="center" vertical="center" wrapText="1"/>
    </xf>
    <xf numFmtId="0" fontId="2" fillId="0" borderId="10" xfId="0" applyFont="1" applyBorder="1" applyAlignment="1">
      <alignment horizontal="left" vertical="center"/>
    </xf>
    <xf numFmtId="177" fontId="2" fillId="0" borderId="15" xfId="0" applyNumberFormat="1" applyFont="1" applyBorder="1" applyAlignment="1">
      <alignment horizontal="center" vertical="center"/>
    </xf>
    <xf numFmtId="0" fontId="2" fillId="0" borderId="10" xfId="0" applyFont="1" applyBorder="1" applyAlignment="1">
      <alignment vertical="center" wrapText="1"/>
    </xf>
    <xf numFmtId="184" fontId="2"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5" xfId="0" applyFont="1" applyBorder="1" applyAlignment="1">
      <alignment horizontal="center" vertical="center"/>
    </xf>
    <xf numFmtId="0" fontId="2" fillId="0" borderId="10" xfId="0" applyNumberFormat="1" applyFont="1" applyBorder="1" applyAlignment="1">
      <alignment vertical="center" wrapText="1"/>
    </xf>
    <xf numFmtId="184" fontId="2" fillId="0" borderId="15" xfId="0" applyNumberFormat="1" applyFont="1" applyBorder="1" applyAlignment="1">
      <alignment horizontal="center" vertical="center" wrapText="1"/>
    </xf>
    <xf numFmtId="0" fontId="2" fillId="0" borderId="10" xfId="0" applyNumberFormat="1" applyFont="1" applyBorder="1" applyAlignment="1">
      <alignment horizontal="left" vertical="center" wrapText="1"/>
    </xf>
    <xf numFmtId="184" fontId="2" fillId="0" borderId="15" xfId="0" applyNumberFormat="1" applyFont="1" applyBorder="1" applyAlignment="1">
      <alignment vertical="center"/>
    </xf>
    <xf numFmtId="183" fontId="2" fillId="0" borderId="15" xfId="0" applyNumberFormat="1" applyFont="1" applyBorder="1" applyAlignment="1">
      <alignment horizontal="center" vertical="center"/>
    </xf>
    <xf numFmtId="0" fontId="57" fillId="0" borderId="18"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13"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horizontal="center" vertical="center"/>
    </xf>
    <xf numFmtId="177" fontId="64" fillId="0" borderId="10" xfId="0" applyNumberFormat="1" applyFont="1" applyFill="1" applyBorder="1" applyAlignment="1">
      <alignment horizontal="center" vertical="center"/>
    </xf>
    <xf numFmtId="180" fontId="64" fillId="0" borderId="10" xfId="0" applyNumberFormat="1" applyFont="1" applyFill="1" applyBorder="1" applyAlignment="1">
      <alignment horizontal="center" vertical="center"/>
    </xf>
    <xf numFmtId="180" fontId="61" fillId="0" borderId="10" xfId="0" applyNumberFormat="1" applyFont="1" applyFill="1" applyBorder="1" applyAlignment="1">
      <alignment horizontal="center" vertical="center"/>
    </xf>
    <xf numFmtId="177" fontId="61" fillId="0" borderId="10" xfId="0" applyNumberFormat="1" applyFont="1" applyFill="1" applyBorder="1" applyAlignment="1">
      <alignment horizontal="center" vertical="center"/>
    </xf>
    <xf numFmtId="179" fontId="61" fillId="0" borderId="10" xfId="0" applyNumberFormat="1" applyFont="1" applyFill="1" applyBorder="1" applyAlignment="1">
      <alignment horizontal="center" vertical="center"/>
    </xf>
    <xf numFmtId="0" fontId="64" fillId="0" borderId="15" xfId="0" applyFont="1" applyFill="1" applyBorder="1" applyAlignment="1">
      <alignment horizontal="center" vertical="center"/>
    </xf>
    <xf numFmtId="184" fontId="61" fillId="0" borderId="10" xfId="0" applyNumberFormat="1" applyFont="1" applyFill="1" applyBorder="1" applyAlignment="1">
      <alignment horizontal="center" vertical="center"/>
    </xf>
    <xf numFmtId="183" fontId="64" fillId="0" borderId="10" xfId="0" applyNumberFormat="1" applyFont="1" applyFill="1" applyBorder="1" applyAlignment="1">
      <alignment horizontal="center" vertical="center"/>
    </xf>
    <xf numFmtId="0" fontId="64" fillId="0" borderId="15" xfId="0" applyFont="1" applyFill="1" applyBorder="1" applyAlignment="1">
      <alignment horizontal="center" vertical="center" wrapText="1"/>
    </xf>
    <xf numFmtId="0" fontId="61" fillId="0" borderId="14" xfId="0" applyFont="1" applyFill="1" applyBorder="1" applyAlignment="1">
      <alignment horizontal="center" vertical="center"/>
    </xf>
    <xf numFmtId="177" fontId="61" fillId="0" borderId="13" xfId="0" applyNumberFormat="1" applyFont="1" applyFill="1" applyBorder="1" applyAlignment="1">
      <alignment horizontal="center" vertical="center"/>
    </xf>
    <xf numFmtId="177" fontId="61" fillId="0" borderId="10" xfId="0" applyNumberFormat="1" applyFont="1" applyFill="1" applyBorder="1" applyAlignment="1">
      <alignment/>
    </xf>
    <xf numFmtId="0" fontId="61" fillId="0" borderId="10" xfId="0" applyFont="1" applyBorder="1" applyAlignment="1">
      <alignment horizontal="center" wrapText="1"/>
    </xf>
    <xf numFmtId="0" fontId="61" fillId="0" borderId="13" xfId="0" applyFont="1" applyFill="1" applyBorder="1" applyAlignment="1">
      <alignment horizontal="center" vertical="center"/>
    </xf>
    <xf numFmtId="0" fontId="64" fillId="0" borderId="10" xfId="0" applyFont="1" applyBorder="1" applyAlignment="1">
      <alignment horizontal="center" vertical="center" wrapText="1"/>
    </xf>
    <xf numFmtId="0" fontId="64" fillId="0" borderId="10" xfId="0" applyNumberFormat="1" applyFont="1" applyFill="1" applyBorder="1" applyAlignment="1">
      <alignment horizontal="center" vertical="center"/>
    </xf>
    <xf numFmtId="0" fontId="61" fillId="0" borderId="10" xfId="0" applyFont="1" applyFill="1" applyBorder="1" applyAlignment="1">
      <alignment horizontal="center" wrapText="1"/>
    </xf>
    <xf numFmtId="184" fontId="61" fillId="0" borderId="13" xfId="0" applyNumberFormat="1" applyFont="1" applyFill="1" applyBorder="1" applyAlignment="1">
      <alignment horizontal="center" vertical="center"/>
    </xf>
    <xf numFmtId="0" fontId="54" fillId="0" borderId="14" xfId="0" applyNumberFormat="1" applyFont="1" applyFill="1" applyBorder="1" applyAlignment="1">
      <alignment horizontal="center" vertical="center"/>
    </xf>
    <xf numFmtId="0" fontId="61" fillId="0" borderId="14" xfId="0" applyNumberFormat="1" applyFont="1" applyFill="1" applyBorder="1" applyAlignment="1">
      <alignment horizontal="center" vertical="center"/>
    </xf>
    <xf numFmtId="180" fontId="61" fillId="0" borderId="10" xfId="0" applyNumberFormat="1" applyFont="1" applyFill="1" applyBorder="1" applyAlignment="1">
      <alignment horizontal="center" vertical="center" wrapText="1"/>
    </xf>
    <xf numFmtId="177" fontId="61" fillId="0" borderId="10" xfId="0" applyNumberFormat="1" applyFont="1" applyFill="1" applyBorder="1" applyAlignment="1">
      <alignment horizontal="center" vertical="center" wrapText="1"/>
    </xf>
    <xf numFmtId="184" fontId="64" fillId="0" borderId="10" xfId="0" applyNumberFormat="1" applyFont="1" applyFill="1" applyBorder="1" applyAlignment="1">
      <alignment horizontal="center" vertical="center"/>
    </xf>
    <xf numFmtId="183" fontId="61" fillId="0" borderId="10" xfId="0" applyNumberFormat="1" applyFont="1" applyFill="1" applyBorder="1" applyAlignment="1">
      <alignment horizontal="center" vertical="center"/>
    </xf>
    <xf numFmtId="177" fontId="61" fillId="0" borderId="14" xfId="0" applyNumberFormat="1" applyFont="1" applyFill="1" applyBorder="1" applyAlignment="1">
      <alignment horizontal="center" vertical="center" wrapText="1"/>
    </xf>
    <xf numFmtId="183" fontId="61" fillId="0" borderId="14" xfId="0" applyNumberFormat="1" applyFont="1" applyFill="1" applyBorder="1" applyAlignment="1">
      <alignment horizontal="center" vertical="center"/>
    </xf>
    <xf numFmtId="0" fontId="64" fillId="0" borderId="10" xfId="0" applyNumberFormat="1" applyFont="1" applyFill="1" applyBorder="1" applyAlignment="1">
      <alignment horizontal="center" vertical="center" wrapText="1"/>
    </xf>
    <xf numFmtId="0" fontId="64" fillId="0" borderId="14" xfId="0" applyFont="1" applyFill="1" applyBorder="1" applyAlignment="1">
      <alignment horizontal="center" vertical="center"/>
    </xf>
    <xf numFmtId="177" fontId="64" fillId="0" borderId="14" xfId="0" applyNumberFormat="1" applyFont="1" applyFill="1" applyBorder="1" applyAlignment="1">
      <alignment horizontal="center" vertical="center"/>
    </xf>
    <xf numFmtId="0" fontId="64" fillId="0" borderId="14" xfId="0" applyNumberFormat="1" applyFont="1" applyFill="1" applyBorder="1" applyAlignment="1">
      <alignment horizontal="center" vertical="center"/>
    </xf>
    <xf numFmtId="0" fontId="64" fillId="0" borderId="14" xfId="0" applyFont="1" applyFill="1" applyBorder="1" applyAlignment="1">
      <alignment horizontal="center" vertical="center" wrapText="1"/>
    </xf>
    <xf numFmtId="184" fontId="64" fillId="0" borderId="14" xfId="0" applyNumberFormat="1" applyFont="1" applyFill="1" applyBorder="1" applyAlignment="1">
      <alignment horizontal="center" vertical="center" wrapText="1"/>
    </xf>
    <xf numFmtId="177" fontId="64" fillId="0" borderId="14" xfId="0" applyNumberFormat="1" applyFont="1" applyFill="1" applyBorder="1" applyAlignment="1">
      <alignment horizontal="center" vertical="center" wrapText="1"/>
    </xf>
    <xf numFmtId="0" fontId="61" fillId="0" borderId="14" xfId="0" applyFont="1" applyBorder="1" applyAlignment="1">
      <alignment horizontal="center" vertical="center" wrapText="1"/>
    </xf>
    <xf numFmtId="0" fontId="57" fillId="0" borderId="10" xfId="0" applyFont="1" applyFill="1" applyBorder="1" applyAlignment="1">
      <alignment horizontal="center" vertical="center"/>
    </xf>
    <xf numFmtId="177" fontId="64" fillId="0" borderId="10" xfId="0" applyNumberFormat="1" applyFont="1" applyFill="1" applyBorder="1" applyAlignment="1">
      <alignment horizontal="center" vertical="center" wrapText="1"/>
    </xf>
    <xf numFmtId="183" fontId="64" fillId="0" borderId="10" xfId="0" applyNumberFormat="1" applyFont="1" applyFill="1" applyBorder="1" applyAlignment="1">
      <alignment horizontal="center" vertical="center" wrapText="1"/>
    </xf>
    <xf numFmtId="190" fontId="61" fillId="0" borderId="10" xfId="0" applyNumberFormat="1" applyFont="1" applyFill="1" applyBorder="1" applyAlignment="1">
      <alignment horizontal="center" vertical="center" wrapText="1"/>
    </xf>
    <xf numFmtId="0" fontId="61" fillId="0" borderId="13" xfId="0" applyFont="1" applyBorder="1" applyAlignment="1">
      <alignment horizontal="center"/>
    </xf>
    <xf numFmtId="184" fontId="61" fillId="0" borderId="10" xfId="0" applyNumberFormat="1" applyFont="1" applyFill="1" applyBorder="1" applyAlignment="1">
      <alignment horizontal="center" vertical="center" wrapText="1"/>
    </xf>
    <xf numFmtId="0" fontId="61" fillId="0" borderId="13" xfId="0" applyFont="1" applyBorder="1" applyAlignment="1">
      <alignment horizontal="center" vertical="center" wrapText="1"/>
    </xf>
    <xf numFmtId="183" fontId="61" fillId="0" borderId="10" xfId="0" applyNumberFormat="1" applyFont="1" applyFill="1" applyBorder="1" applyAlignment="1">
      <alignment horizontal="center" vertical="center" wrapText="1"/>
    </xf>
    <xf numFmtId="177" fontId="61" fillId="0" borderId="10" xfId="0" applyNumberFormat="1" applyFont="1" applyFill="1" applyBorder="1" applyAlignment="1">
      <alignment horizontal="center"/>
    </xf>
    <xf numFmtId="0" fontId="61" fillId="0" borderId="10" xfId="0" applyNumberFormat="1"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1" fillId="0" borderId="17" xfId="0" applyFont="1" applyFill="1" applyBorder="1" applyAlignment="1">
      <alignment horizontal="center" vertical="center"/>
    </xf>
    <xf numFmtId="0" fontId="42" fillId="0" borderId="10" xfId="0" applyFont="1" applyBorder="1" applyAlignment="1">
      <alignment horizontal="center" vertical="center" wrapText="1"/>
    </xf>
    <xf numFmtId="177" fontId="42" fillId="0" borderId="10" xfId="0" applyNumberFormat="1" applyFont="1" applyBorder="1" applyAlignment="1">
      <alignment horizontal="center" vertical="center" wrapText="1"/>
    </xf>
    <xf numFmtId="0" fontId="42" fillId="0" borderId="10" xfId="0" applyFont="1" applyBorder="1" applyAlignment="1">
      <alignment horizontal="center" vertical="center"/>
    </xf>
    <xf numFmtId="0" fontId="2" fillId="0" borderId="10" xfId="0" applyFont="1" applyBorder="1" applyAlignment="1">
      <alignment vertical="center"/>
    </xf>
    <xf numFmtId="177" fontId="42" fillId="0" borderId="10" xfId="0" applyNumberFormat="1" applyFont="1" applyBorder="1" applyAlignment="1">
      <alignment horizontal="center" vertical="center"/>
    </xf>
    <xf numFmtId="177" fontId="42" fillId="0" borderId="10" xfId="0" applyNumberFormat="1" applyFont="1" applyBorder="1" applyAlignment="1">
      <alignment horizontal="center" vertical="center"/>
    </xf>
    <xf numFmtId="0" fontId="2" fillId="0" borderId="10" xfId="73" applyFont="1" applyFill="1" applyBorder="1" applyAlignment="1">
      <alignment horizontal="center" vertical="center"/>
      <protection/>
    </xf>
    <xf numFmtId="0" fontId="2" fillId="0" borderId="10" xfId="73" applyNumberFormat="1" applyFont="1" applyFill="1" applyBorder="1" applyAlignment="1">
      <alignment horizontal="center" vertical="center"/>
      <protection/>
    </xf>
    <xf numFmtId="177" fontId="2" fillId="0" borderId="10" xfId="0" applyNumberFormat="1" applyFont="1" applyFill="1" applyBorder="1" applyAlignment="1">
      <alignment vertical="center"/>
    </xf>
    <xf numFmtId="0" fontId="42" fillId="0" borderId="10" xfId="0" applyFont="1" applyBorder="1" applyAlignment="1">
      <alignment vertical="center"/>
    </xf>
    <xf numFmtId="177" fontId="42" fillId="0" borderId="10" xfId="0" applyNumberFormat="1" applyFont="1" applyFill="1" applyBorder="1" applyAlignment="1">
      <alignment vertical="center"/>
    </xf>
    <xf numFmtId="176" fontId="2" fillId="0" borderId="15" xfId="0" applyNumberFormat="1" applyFont="1" applyBorder="1" applyAlignment="1">
      <alignment horizontal="center" vertical="center"/>
    </xf>
    <xf numFmtId="0" fontId="42" fillId="0" borderId="10" xfId="0" applyNumberFormat="1" applyFont="1" applyBorder="1" applyAlignment="1">
      <alignment horizontal="center" vertical="center"/>
    </xf>
    <xf numFmtId="179" fontId="42" fillId="0" borderId="10" xfId="46" applyNumberFormat="1" applyFont="1" applyFill="1" applyBorder="1" applyAlignment="1">
      <alignment horizontal="center" vertical="center" wrapText="1"/>
      <protection/>
    </xf>
    <xf numFmtId="0" fontId="42" fillId="0" borderId="0" xfId="0" applyFont="1" applyAlignment="1">
      <alignment vertical="center"/>
    </xf>
    <xf numFmtId="49" fontId="2" fillId="0" borderId="10" xfId="69" applyNumberFormat="1" applyFont="1" applyFill="1" applyBorder="1" applyAlignment="1">
      <alignment horizontal="left" vertical="center" wrapText="1"/>
      <protection/>
    </xf>
    <xf numFmtId="178" fontId="2" fillId="0" borderId="10" xfId="69" applyNumberFormat="1" applyFont="1" applyFill="1" applyBorder="1" applyAlignment="1">
      <alignment horizontal="center" vertical="center" wrapText="1"/>
      <protection/>
    </xf>
    <xf numFmtId="178" fontId="2" fillId="0" borderId="10" xfId="46" applyNumberFormat="1" applyFont="1" applyFill="1" applyBorder="1" applyAlignment="1">
      <alignment horizontal="center" vertical="center"/>
      <protection/>
    </xf>
    <xf numFmtId="179" fontId="2" fillId="0" borderId="10" xfId="46" applyNumberFormat="1" applyFont="1" applyFill="1" applyBorder="1" applyAlignment="1">
      <alignment horizontal="center" vertical="center"/>
      <protection/>
    </xf>
    <xf numFmtId="49" fontId="2" fillId="0" borderId="10" xfId="69" applyNumberFormat="1" applyFont="1" applyFill="1" applyBorder="1" applyAlignment="1">
      <alignment horizontal="left" vertical="center" wrapText="1"/>
      <protection/>
    </xf>
    <xf numFmtId="178" fontId="2" fillId="0" borderId="10" xfId="69" applyNumberFormat="1" applyFont="1" applyFill="1" applyBorder="1" applyAlignment="1">
      <alignment horizontal="center" vertical="center" wrapText="1"/>
      <protection/>
    </xf>
    <xf numFmtId="178" fontId="2" fillId="0" borderId="10" xfId="46" applyNumberFormat="1" applyFont="1" applyFill="1" applyBorder="1" applyAlignment="1">
      <alignment horizontal="center" vertical="center"/>
      <protection/>
    </xf>
    <xf numFmtId="179" fontId="2" fillId="0" borderId="10" xfId="46" applyNumberFormat="1" applyFont="1" applyFill="1" applyBorder="1" applyAlignment="1">
      <alignment horizontal="center" vertical="center"/>
      <protection/>
    </xf>
    <xf numFmtId="0" fontId="2" fillId="0" borderId="10" xfId="46" applyFont="1" applyBorder="1" applyAlignment="1">
      <alignment horizontal="left"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justify" vertical="center" wrapText="1"/>
    </xf>
    <xf numFmtId="177" fontId="28" fillId="0" borderId="10" xfId="0" applyNumberFormat="1" applyFont="1" applyBorder="1" applyAlignment="1">
      <alignment horizontal="justify" vertical="center" wrapText="1"/>
    </xf>
    <xf numFmtId="0" fontId="51" fillId="0" borderId="0" xfId="0" applyFont="1" applyAlignment="1">
      <alignment vertical="center"/>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179" fontId="3" fillId="0" borderId="10" xfId="0" applyNumberFormat="1" applyFont="1" applyBorder="1" applyAlignment="1">
      <alignment horizontal="center" vertical="center" wrapText="1"/>
    </xf>
    <xf numFmtId="179" fontId="3" fillId="0" borderId="10" xfId="0" applyNumberFormat="1" applyFont="1" applyBorder="1" applyAlignment="1">
      <alignment horizontal="center" vertical="center"/>
    </xf>
    <xf numFmtId="0" fontId="34" fillId="0" borderId="10" xfId="0" applyFont="1" applyFill="1" applyBorder="1" applyAlignment="1">
      <alignment horizontal="center" vertical="center"/>
    </xf>
    <xf numFmtId="182" fontId="34" fillId="0" borderId="10" xfId="0" applyNumberFormat="1" applyFont="1" applyFill="1" applyBorder="1" applyAlignment="1">
      <alignment horizontal="center" vertical="center"/>
    </xf>
    <xf numFmtId="182" fontId="2" fillId="0" borderId="10" xfId="0" applyNumberFormat="1" applyFont="1" applyFill="1" applyBorder="1" applyAlignment="1">
      <alignment horizontal="center" vertical="center"/>
    </xf>
    <xf numFmtId="0" fontId="26" fillId="0" borderId="10" xfId="0" applyFont="1" applyBorder="1" applyAlignment="1">
      <alignment horizontal="center" vertical="center"/>
    </xf>
    <xf numFmtId="182" fontId="2" fillId="0" borderId="10" xfId="0" applyNumberFormat="1" applyFont="1" applyFill="1" applyBorder="1" applyAlignment="1">
      <alignment horizontal="center" vertical="center" wrapText="1"/>
    </xf>
    <xf numFmtId="0" fontId="26" fillId="0" borderId="0" xfId="0" applyFont="1" applyAlignment="1">
      <alignment vertical="center"/>
    </xf>
    <xf numFmtId="0" fontId="2" fillId="24" borderId="10" xfId="66" applyFont="1" applyFill="1" applyBorder="1" applyAlignment="1">
      <alignment horizontal="center" vertical="center" wrapText="1"/>
      <protection/>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182" fontId="34" fillId="24" borderId="10" xfId="0" applyNumberFormat="1" applyFont="1" applyFill="1" applyBorder="1" applyAlignment="1">
      <alignment horizontal="center" vertical="center"/>
    </xf>
    <xf numFmtId="0" fontId="44" fillId="0" borderId="10" xfId="0" applyFont="1" applyBorder="1" applyAlignment="1">
      <alignment horizontal="center" vertical="center" wrapText="1"/>
    </xf>
    <xf numFmtId="0" fontId="68" fillId="0" borderId="10" xfId="66"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188" fontId="2" fillId="0" borderId="10" xfId="0" applyNumberFormat="1" applyFont="1" applyFill="1" applyBorder="1" applyAlignment="1">
      <alignment horizontal="center" vertical="center"/>
    </xf>
    <xf numFmtId="189" fontId="2" fillId="0" borderId="10" xfId="0" applyNumberFormat="1" applyFont="1" applyFill="1" applyBorder="1" applyAlignment="1">
      <alignment horizontal="center" vertical="center"/>
    </xf>
    <xf numFmtId="189" fontId="34" fillId="0" borderId="10" xfId="0" applyNumberFormat="1" applyFont="1" applyFill="1" applyBorder="1" applyAlignment="1">
      <alignment horizontal="center" vertical="center"/>
    </xf>
    <xf numFmtId="182" fontId="2" fillId="0" borderId="10" xfId="66" applyNumberFormat="1" applyFont="1" applyFill="1" applyBorder="1" applyAlignment="1">
      <alignment horizontal="center" vertical="center" wrapText="1"/>
      <protection/>
    </xf>
    <xf numFmtId="189" fontId="2" fillId="0" borderId="10" xfId="66" applyNumberFormat="1" applyFont="1" applyFill="1" applyBorder="1" applyAlignment="1">
      <alignment horizontal="center" vertical="center" wrapText="1"/>
      <protection/>
    </xf>
    <xf numFmtId="189" fontId="2"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185" fontId="2" fillId="0" borderId="10" xfId="66" applyNumberFormat="1" applyFont="1" applyFill="1" applyBorder="1" applyAlignment="1">
      <alignment horizontal="center" vertical="center" wrapText="1"/>
      <protection/>
    </xf>
    <xf numFmtId="181" fontId="2" fillId="0" borderId="10" xfId="66" applyNumberFormat="1" applyFont="1" applyFill="1" applyBorder="1" applyAlignment="1">
      <alignment horizontal="center" vertical="center" wrapText="1"/>
      <protection/>
    </xf>
    <xf numFmtId="178" fontId="2" fillId="0" borderId="10" xfId="0" applyNumberFormat="1" applyFont="1" applyBorder="1" applyAlignment="1">
      <alignment horizontal="center" vertical="center" wrapText="1"/>
    </xf>
    <xf numFmtId="178" fontId="42" fillId="0" borderId="10" xfId="0" applyNumberFormat="1" applyFont="1" applyBorder="1" applyAlignment="1">
      <alignment horizontal="center" vertical="center" wrapText="1"/>
    </xf>
    <xf numFmtId="178" fontId="2" fillId="0" borderId="10" xfId="0" applyNumberFormat="1" applyFont="1" applyBorder="1" applyAlignment="1">
      <alignment horizontal="center" vertical="center"/>
    </xf>
    <xf numFmtId="178" fontId="42" fillId="0" borderId="10" xfId="0" applyNumberFormat="1" applyFont="1" applyBorder="1" applyAlignment="1">
      <alignment horizontal="center" vertical="center"/>
    </xf>
    <xf numFmtId="178" fontId="42" fillId="0" borderId="10"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2" fillId="0" borderId="10" xfId="0" applyNumberFormat="1" applyFont="1" applyBorder="1" applyAlignment="1">
      <alignment vertical="center"/>
    </xf>
    <xf numFmtId="178" fontId="42" fillId="0" borderId="10" xfId="0" applyNumberFormat="1" applyFont="1" applyFill="1" applyBorder="1" applyAlignment="1">
      <alignment vertical="center"/>
    </xf>
    <xf numFmtId="178" fontId="2" fillId="0" borderId="10" xfId="73" applyNumberFormat="1" applyFont="1" applyFill="1" applyBorder="1" applyAlignment="1">
      <alignment horizontal="center" vertical="center"/>
      <protection/>
    </xf>
    <xf numFmtId="0" fontId="2" fillId="0" borderId="10" xfId="0" applyNumberFormat="1" applyFont="1" applyBorder="1" applyAlignment="1">
      <alignment horizontal="center" vertical="center" wrapText="1"/>
    </xf>
    <xf numFmtId="0" fontId="42" fillId="0" borderId="10" xfId="0" applyNumberFormat="1" applyFont="1" applyBorder="1" applyAlignment="1">
      <alignment horizontal="center" vertical="center" wrapText="1"/>
    </xf>
    <xf numFmtId="0" fontId="26" fillId="0" borderId="10" xfId="0" applyNumberFormat="1" applyFont="1" applyBorder="1" applyAlignment="1">
      <alignment horizontal="center" vertical="center"/>
    </xf>
    <xf numFmtId="0" fontId="48" fillId="0" borderId="10" xfId="0" applyNumberFormat="1" applyFont="1" applyBorder="1" applyAlignment="1">
      <alignment horizontal="center" vertical="center"/>
    </xf>
    <xf numFmtId="0" fontId="42" fillId="0" borderId="15" xfId="0" applyNumberFormat="1" applyFont="1" applyBorder="1" applyAlignment="1">
      <alignment horizontal="center" vertical="center" wrapText="1"/>
    </xf>
    <xf numFmtId="0" fontId="48" fillId="0" borderId="15" xfId="0" applyNumberFormat="1" applyFont="1" applyBorder="1" applyAlignment="1">
      <alignment horizontal="center" vertical="center"/>
    </xf>
    <xf numFmtId="0" fontId="26" fillId="0" borderId="10" xfId="0" applyFont="1" applyBorder="1" applyAlignment="1">
      <alignment vertical="center"/>
    </xf>
    <xf numFmtId="0" fontId="26" fillId="0" borderId="10" xfId="0" applyFont="1" applyFill="1" applyBorder="1" applyAlignment="1">
      <alignment horizontal="center" vertical="center"/>
    </xf>
    <xf numFmtId="0" fontId="2" fillId="0" borderId="10" xfId="45"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45" applyFont="1" applyFill="1" applyBorder="1" applyAlignment="1" applyProtection="1">
      <alignment horizontal="center"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181"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0" borderId="10" xfId="66" applyNumberFormat="1" applyFont="1" applyFill="1" applyBorder="1" applyAlignment="1">
      <alignment horizontal="center" vertical="center" wrapText="1"/>
      <protection/>
    </xf>
    <xf numFmtId="178" fontId="2" fillId="0" borderId="10" xfId="60" applyNumberFormat="1" applyFont="1" applyFill="1" applyBorder="1" applyAlignment="1">
      <alignment horizontal="center" vertical="center" wrapText="1"/>
      <protection/>
    </xf>
    <xf numFmtId="179" fontId="2" fillId="0" borderId="10" xfId="66" applyNumberFormat="1" applyFont="1" applyFill="1" applyBorder="1" applyAlignment="1">
      <alignment horizontal="center" vertical="center" wrapText="1"/>
      <protection/>
    </xf>
    <xf numFmtId="2" fontId="2" fillId="0" borderId="10" xfId="66" applyNumberFormat="1" applyFont="1" applyFill="1" applyBorder="1" applyAlignment="1">
      <alignment horizontal="center" vertical="center"/>
      <protection/>
    </xf>
    <xf numFmtId="179" fontId="2" fillId="0" borderId="10" xfId="50" applyNumberFormat="1" applyFont="1" applyFill="1" applyBorder="1" applyAlignment="1">
      <alignment horizontal="center" vertical="center" wrapText="1"/>
      <protection/>
    </xf>
    <xf numFmtId="179" fontId="2" fillId="0" borderId="10" xfId="60" applyNumberFormat="1"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46" fillId="0" borderId="10" xfId="15" applyFont="1" applyFill="1" applyBorder="1" applyAlignment="1">
      <alignment horizontal="center" vertical="center" wrapText="1"/>
      <protection/>
    </xf>
    <xf numFmtId="0" fontId="20" fillId="0" borderId="0" xfId="0" applyFont="1" applyAlignment="1">
      <alignment vertical="center"/>
    </xf>
    <xf numFmtId="0" fontId="48"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vertical="center"/>
    </xf>
    <xf numFmtId="0" fontId="26" fillId="0" borderId="0" xfId="0" applyFont="1" applyAlignment="1">
      <alignment vertical="center"/>
    </xf>
    <xf numFmtId="0" fontId="21" fillId="0" borderId="0" xfId="0" applyFont="1" applyAlignment="1">
      <alignment vertical="center"/>
    </xf>
    <xf numFmtId="0" fontId="71" fillId="0" borderId="10" xfId="0" applyFont="1" applyBorder="1" applyAlignment="1">
      <alignment vertical="center"/>
    </xf>
    <xf numFmtId="0" fontId="26" fillId="0" borderId="10" xfId="0" applyNumberFormat="1" applyFont="1" applyBorder="1" applyAlignment="1">
      <alignment horizontal="center" vertical="center"/>
    </xf>
    <xf numFmtId="0" fontId="26" fillId="0" borderId="15" xfId="0" applyFont="1" applyBorder="1" applyAlignment="1">
      <alignment horizontal="center" vertical="center"/>
    </xf>
    <xf numFmtId="0" fontId="48" fillId="0" borderId="15" xfId="0" applyFont="1" applyBorder="1" applyAlignment="1">
      <alignment horizontal="center" vertical="center"/>
    </xf>
    <xf numFmtId="0" fontId="26" fillId="0" borderId="15" xfId="0" applyFont="1" applyBorder="1" applyAlignment="1">
      <alignment horizontal="center" vertical="center" wrapText="1"/>
    </xf>
    <xf numFmtId="0" fontId="48" fillId="0" borderId="15" xfId="0" applyFont="1" applyBorder="1" applyAlignment="1">
      <alignment vertical="center"/>
    </xf>
    <xf numFmtId="0" fontId="26" fillId="0" borderId="15" xfId="0" applyFont="1" applyBorder="1" applyAlignment="1">
      <alignment horizontal="center" vertical="center"/>
    </xf>
    <xf numFmtId="0" fontId="0" fillId="0" borderId="0" xfId="0" applyFill="1" applyBorder="1" applyAlignment="1">
      <alignment vertical="center"/>
    </xf>
    <xf numFmtId="0" fontId="20" fillId="0" borderId="0" xfId="0" applyFont="1" applyFill="1" applyBorder="1" applyAlignment="1">
      <alignment vertical="center"/>
    </xf>
    <xf numFmtId="0" fontId="80" fillId="0" borderId="0"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10" xfId="0" applyNumberFormat="1" applyFont="1" applyFill="1" applyBorder="1" applyAlignment="1">
      <alignment horizontal="center" vertical="center" wrapText="1"/>
    </xf>
    <xf numFmtId="176" fontId="82" fillId="0" borderId="10" xfId="0" applyNumberFormat="1" applyFont="1" applyFill="1" applyBorder="1" applyAlignment="1">
      <alignment horizontal="center" vertical="center" wrapText="1"/>
    </xf>
    <xf numFmtId="0" fontId="34" fillId="0" borderId="0" xfId="0" applyFont="1" applyAlignment="1">
      <alignment vertical="center" wrapText="1"/>
    </xf>
    <xf numFmtId="0" fontId="34" fillId="0" borderId="0" xfId="0" applyFont="1" applyAlignment="1">
      <alignment vertical="center"/>
    </xf>
    <xf numFmtId="0" fontId="54" fillId="0" borderId="10" xfId="0" applyFont="1" applyFill="1" applyBorder="1" applyAlignment="1">
      <alignment horizontal="center" vertical="center"/>
    </xf>
    <xf numFmtId="0" fontId="54" fillId="0" borderId="0" xfId="0" applyFont="1" applyFill="1" applyAlignment="1">
      <alignment horizontal="center" vertical="center"/>
    </xf>
    <xf numFmtId="177" fontId="54" fillId="0" borderId="10" xfId="0" applyNumberFormat="1" applyFont="1" applyFill="1" applyBorder="1" applyAlignment="1">
      <alignment horizontal="center" vertical="center"/>
    </xf>
    <xf numFmtId="0" fontId="54" fillId="0" borderId="14" xfId="0" applyNumberFormat="1" applyFont="1" applyFill="1" applyBorder="1" applyAlignment="1">
      <alignment horizontal="center" vertical="center"/>
    </xf>
    <xf numFmtId="0" fontId="82" fillId="0" borderId="10" xfId="71" applyFont="1" applyFill="1" applyBorder="1" applyAlignment="1">
      <alignment horizontal="center" vertical="center" wrapText="1"/>
      <protection/>
    </xf>
    <xf numFmtId="0" fontId="83" fillId="0" borderId="10" xfId="0" applyFont="1" applyFill="1" applyBorder="1" applyAlignment="1">
      <alignment horizontal="center" vertical="center" wrapText="1"/>
    </xf>
    <xf numFmtId="49" fontId="84" fillId="0" borderId="12" xfId="0" applyNumberFormat="1" applyFont="1" applyFill="1" applyBorder="1" applyAlignment="1">
      <alignment horizontal="center" vertical="center" wrapText="1"/>
    </xf>
    <xf numFmtId="49" fontId="85" fillId="0" borderId="10" xfId="0" applyNumberFormat="1" applyFont="1" applyFill="1" applyBorder="1" applyAlignment="1">
      <alignment horizontal="center" vertical="center" wrapText="1"/>
    </xf>
    <xf numFmtId="177" fontId="85" fillId="0" borderId="10" xfId="0" applyNumberFormat="1" applyFont="1" applyFill="1" applyBorder="1" applyAlignment="1">
      <alignment horizontal="center" vertical="center" wrapText="1"/>
    </xf>
    <xf numFmtId="0" fontId="84" fillId="0" borderId="14"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5" fillId="0" borderId="10" xfId="0" applyFont="1" applyFill="1" applyBorder="1" applyAlignment="1">
      <alignment horizontal="center" vertical="center" wrapText="1"/>
    </xf>
    <xf numFmtId="177" fontId="83" fillId="0" borderId="10" xfId="0" applyNumberFormat="1" applyFont="1" applyFill="1" applyBorder="1" applyAlignment="1">
      <alignment horizontal="center" vertical="center" wrapText="1"/>
    </xf>
    <xf numFmtId="0" fontId="83" fillId="0" borderId="10" xfId="0" applyFont="1" applyFill="1" applyBorder="1" applyAlignment="1">
      <alignment horizontal="center" vertical="center"/>
    </xf>
    <xf numFmtId="9" fontId="82" fillId="0" borderId="10" xfId="0" applyNumberFormat="1" applyFont="1" applyFill="1" applyBorder="1" applyAlignment="1">
      <alignment horizontal="center" vertical="center"/>
    </xf>
    <xf numFmtId="177" fontId="82" fillId="0" borderId="10" xfId="0" applyNumberFormat="1" applyFont="1" applyFill="1" applyBorder="1" applyAlignment="1">
      <alignment horizontal="center" vertical="center" wrapText="1"/>
    </xf>
    <xf numFmtId="0" fontId="82" fillId="0" borderId="10" xfId="0" applyFont="1" applyFill="1" applyBorder="1" applyAlignment="1">
      <alignment horizontal="center" vertical="center"/>
    </xf>
    <xf numFmtId="183" fontId="82" fillId="0" borderId="10" xfId="0" applyNumberFormat="1" applyFont="1" applyFill="1" applyBorder="1" applyAlignment="1">
      <alignment horizontal="center" vertical="center" wrapText="1"/>
    </xf>
    <xf numFmtId="177" fontId="82" fillId="0" borderId="10" xfId="0" applyNumberFormat="1" applyFont="1" applyFill="1" applyBorder="1" applyAlignment="1">
      <alignment horizontal="center" vertical="center"/>
    </xf>
    <xf numFmtId="184" fontId="82" fillId="0" borderId="10" xfId="0" applyNumberFormat="1" applyFont="1" applyFill="1" applyBorder="1" applyAlignment="1">
      <alignment horizontal="center" vertical="center" wrapText="1"/>
    </xf>
    <xf numFmtId="176" fontId="85" fillId="0" borderId="10" xfId="0" applyNumberFormat="1" applyFont="1" applyFill="1" applyBorder="1" applyAlignment="1">
      <alignment horizontal="center" vertical="center" wrapText="1"/>
    </xf>
    <xf numFmtId="183" fontId="85" fillId="0" borderId="10" xfId="0" applyNumberFormat="1"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10" xfId="0" applyFont="1" applyFill="1" applyBorder="1" applyAlignment="1">
      <alignment vertical="center" wrapText="1"/>
    </xf>
    <xf numFmtId="49" fontId="84" fillId="0" borderId="10" xfId="0" applyNumberFormat="1" applyFont="1" applyFill="1" applyBorder="1" applyAlignment="1">
      <alignment horizontal="center" vertical="center" wrapText="1"/>
    </xf>
    <xf numFmtId="177" fontId="84" fillId="0" borderId="10" xfId="0" applyNumberFormat="1" applyFont="1" applyFill="1" applyBorder="1" applyAlignment="1">
      <alignment horizontal="center" vertical="center" wrapText="1"/>
    </xf>
    <xf numFmtId="49" fontId="82" fillId="0" borderId="10" xfId="0" applyNumberFormat="1" applyFont="1" applyFill="1" applyBorder="1" applyAlignment="1">
      <alignment horizontal="center" vertical="center" wrapText="1"/>
    </xf>
    <xf numFmtId="49" fontId="83" fillId="0" borderId="10" xfId="0" applyNumberFormat="1" applyFont="1" applyFill="1" applyBorder="1" applyAlignment="1">
      <alignment horizontal="center" vertical="center"/>
    </xf>
    <xf numFmtId="49" fontId="83" fillId="0" borderId="10" xfId="0" applyNumberFormat="1" applyFont="1" applyFill="1" applyBorder="1" applyAlignment="1">
      <alignment horizontal="center" vertical="center" wrapText="1"/>
    </xf>
    <xf numFmtId="177" fontId="83" fillId="0" borderId="10" xfId="0" applyNumberFormat="1" applyFont="1" applyFill="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left" vertical="center" wrapText="1"/>
    </xf>
    <xf numFmtId="179" fontId="82" fillId="0" borderId="10" xfId="47" applyNumberFormat="1" applyFont="1" applyFill="1" applyBorder="1" applyAlignment="1">
      <alignment horizontal="center" vertical="center" wrapText="1"/>
      <protection/>
    </xf>
    <xf numFmtId="178" fontId="82" fillId="0" borderId="10" xfId="47" applyNumberFormat="1" applyFont="1" applyFill="1" applyBorder="1" applyAlignment="1">
      <alignment horizontal="center" vertical="center" wrapText="1"/>
      <protection/>
    </xf>
    <xf numFmtId="0" fontId="82" fillId="0" borderId="10" xfId="44" applyFont="1" applyFill="1" applyBorder="1" applyAlignment="1">
      <alignment horizontal="center" vertical="center"/>
      <protection/>
    </xf>
    <xf numFmtId="177" fontId="82" fillId="0" borderId="10" xfId="44" applyNumberFormat="1" applyFont="1" applyFill="1" applyBorder="1" applyAlignment="1">
      <alignment horizontal="center" vertical="center"/>
      <protection/>
    </xf>
    <xf numFmtId="179" fontId="82" fillId="0" borderId="10" xfId="44" applyNumberFormat="1" applyFont="1" applyFill="1" applyBorder="1" applyAlignment="1">
      <alignment horizontal="center" vertical="center"/>
      <protection/>
    </xf>
    <xf numFmtId="177" fontId="80" fillId="0" borderId="10" xfId="51" applyNumberFormat="1" applyFont="1" applyFill="1" applyBorder="1" applyAlignment="1">
      <alignment horizontal="center" vertical="center" wrapText="1"/>
      <protection/>
    </xf>
    <xf numFmtId="183" fontId="82" fillId="0" borderId="10" xfId="58" applyNumberFormat="1" applyFont="1" applyFill="1" applyBorder="1" applyAlignment="1" applyProtection="1">
      <alignment horizontal="center" vertical="center" wrapText="1"/>
      <protection/>
    </xf>
    <xf numFmtId="183" fontId="82" fillId="0" borderId="10" xfId="51" applyNumberFormat="1" applyFont="1" applyFill="1" applyBorder="1" applyAlignment="1">
      <alignment horizontal="center" vertical="center"/>
      <protection/>
    </xf>
    <xf numFmtId="177" fontId="82" fillId="0" borderId="10" xfId="59" applyNumberFormat="1" applyFont="1" applyFill="1" applyBorder="1" applyAlignment="1" applyProtection="1">
      <alignment horizontal="center" vertical="center" wrapText="1"/>
      <protection/>
    </xf>
    <xf numFmtId="177" fontId="80" fillId="0" borderId="10" xfId="51" applyNumberFormat="1" applyFont="1" applyFill="1" applyBorder="1" applyAlignment="1">
      <alignment horizontal="center" vertical="center"/>
      <protection/>
    </xf>
    <xf numFmtId="177" fontId="82" fillId="0" borderId="10" xfId="51" applyNumberFormat="1" applyFont="1" applyFill="1" applyBorder="1" applyAlignment="1">
      <alignment horizontal="center" vertical="center"/>
      <protection/>
    </xf>
    <xf numFmtId="179" fontId="82" fillId="0" borderId="10" xfId="0" applyNumberFormat="1" applyFont="1" applyFill="1" applyBorder="1" applyAlignment="1">
      <alignment horizontal="center" vertical="center"/>
    </xf>
    <xf numFmtId="177" fontId="80" fillId="0" borderId="10" xfId="0" applyNumberFormat="1" applyFont="1" applyFill="1" applyBorder="1" applyAlignment="1">
      <alignment horizontal="center" vertical="center" wrapText="1"/>
    </xf>
    <xf numFmtId="177" fontId="80" fillId="0" borderId="13" xfId="0" applyNumberFormat="1" applyFont="1" applyFill="1" applyBorder="1" applyAlignment="1">
      <alignment horizontal="center" vertical="center" wrapText="1"/>
    </xf>
    <xf numFmtId="179" fontId="80" fillId="0" borderId="10" xfId="0" applyNumberFormat="1" applyFont="1" applyFill="1" applyBorder="1" applyAlignment="1">
      <alignment horizontal="center" vertical="center"/>
    </xf>
    <xf numFmtId="179" fontId="80" fillId="0" borderId="10" xfId="0" applyNumberFormat="1" applyFont="1" applyFill="1" applyBorder="1" applyAlignment="1">
      <alignment vertical="center"/>
    </xf>
    <xf numFmtId="179" fontId="82" fillId="0" borderId="10" xfId="47" applyNumberFormat="1" applyFont="1" applyFill="1" applyBorder="1" applyAlignment="1" applyProtection="1">
      <alignment horizontal="left" vertical="center" wrapText="1"/>
      <protection/>
    </xf>
    <xf numFmtId="187" fontId="82" fillId="0" borderId="10" xfId="44" applyNumberFormat="1" applyFont="1" applyFill="1" applyBorder="1" applyAlignment="1">
      <alignment horizontal="left" vertical="center" wrapText="1"/>
      <protection/>
    </xf>
    <xf numFmtId="177" fontId="80" fillId="0" borderId="10" xfId="51" applyNumberFormat="1" applyFont="1" applyFill="1" applyBorder="1" applyAlignment="1">
      <alignment horizontal="left" vertical="center" wrapText="1"/>
      <protection/>
    </xf>
    <xf numFmtId="177" fontId="82" fillId="0" borderId="10" xfId="51" applyNumberFormat="1" applyFont="1" applyBorder="1" applyAlignment="1">
      <alignment horizontal="left" vertical="center" wrapText="1"/>
      <protection/>
    </xf>
    <xf numFmtId="177" fontId="82" fillId="0" borderId="10" xfId="51" applyNumberFormat="1" applyFont="1" applyFill="1" applyBorder="1" applyAlignment="1">
      <alignment horizontal="left" vertical="center" wrapText="1"/>
      <protection/>
    </xf>
    <xf numFmtId="187" fontId="82" fillId="0" borderId="10" xfId="0" applyNumberFormat="1" applyFont="1" applyFill="1" applyBorder="1" applyAlignment="1">
      <alignment horizontal="left" vertical="center" wrapText="1"/>
    </xf>
    <xf numFmtId="177" fontId="80" fillId="0" borderId="10"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4" fillId="0" borderId="10" xfId="0" applyFont="1" applyBorder="1" applyAlignment="1">
      <alignment vertical="center"/>
    </xf>
    <xf numFmtId="0" fontId="21" fillId="0" borderId="0" xfId="0" applyFont="1" applyBorder="1" applyAlignment="1">
      <alignment vertical="center"/>
    </xf>
    <xf numFmtId="0" fontId="68" fillId="0" borderId="0" xfId="0" applyFont="1" applyFill="1" applyBorder="1" applyAlignment="1">
      <alignment horizontal="center" vertical="center"/>
    </xf>
    <xf numFmtId="179" fontId="82" fillId="0" borderId="10" xfId="0" applyNumberFormat="1" applyFont="1" applyFill="1" applyBorder="1" applyAlignment="1">
      <alignment horizontal="center" vertical="center" wrapText="1"/>
    </xf>
    <xf numFmtId="180" fontId="34" fillId="0" borderId="0" xfId="0" applyNumberFormat="1" applyFont="1" applyFill="1" applyAlignment="1">
      <alignment vertical="center"/>
    </xf>
    <xf numFmtId="0" fontId="82" fillId="0" borderId="10" xfId="66" applyFont="1" applyFill="1" applyBorder="1" applyAlignment="1">
      <alignment horizontal="center" vertical="center" wrapText="1"/>
      <protection/>
    </xf>
    <xf numFmtId="179" fontId="82" fillId="0" borderId="10" xfId="50" applyNumberFormat="1" applyFont="1" applyFill="1" applyBorder="1" applyAlignment="1">
      <alignment horizontal="center" vertical="center" wrapText="1"/>
      <protection/>
    </xf>
    <xf numFmtId="178" fontId="82" fillId="0" borderId="10" xfId="0" applyNumberFormat="1" applyFont="1" applyFill="1" applyBorder="1" applyAlignment="1">
      <alignment horizontal="center" vertical="center"/>
    </xf>
    <xf numFmtId="0" fontId="82" fillId="0" borderId="10" xfId="0" applyFont="1" applyFill="1" applyBorder="1" applyAlignment="1">
      <alignment horizontal="center" vertical="center" wrapText="1"/>
    </xf>
    <xf numFmtId="0" fontId="82" fillId="0" borderId="10" xfId="0" applyNumberFormat="1" applyFont="1" applyFill="1" applyBorder="1" applyAlignment="1">
      <alignment horizontal="center" vertical="center" wrapText="1"/>
    </xf>
    <xf numFmtId="0" fontId="82" fillId="0" borderId="10" xfId="75" applyNumberFormat="1" applyFont="1" applyFill="1" applyBorder="1" applyAlignment="1">
      <alignment horizontal="center" vertical="center" wrapText="1"/>
      <protection/>
    </xf>
    <xf numFmtId="181" fontId="82" fillId="0" borderId="10" xfId="0" applyNumberFormat="1" applyFont="1" applyFill="1" applyBorder="1" applyAlignment="1">
      <alignment horizontal="center" vertical="center" wrapText="1"/>
    </xf>
    <xf numFmtId="178" fontId="82" fillId="0" borderId="10" xfId="50" applyNumberFormat="1" applyFont="1" applyFill="1" applyBorder="1" applyAlignment="1">
      <alignment horizontal="center" vertical="center" shrinkToFit="1"/>
      <protection/>
    </xf>
    <xf numFmtId="178" fontId="82" fillId="0" borderId="10" xfId="50" applyNumberFormat="1" applyFont="1" applyFill="1" applyBorder="1" applyAlignment="1">
      <alignment horizontal="center" vertical="center" wrapText="1"/>
      <protection/>
    </xf>
    <xf numFmtId="178" fontId="82" fillId="0" borderId="10" xfId="66" applyNumberFormat="1" applyFont="1" applyFill="1" applyBorder="1" applyAlignment="1">
      <alignment horizontal="center" vertical="center" wrapText="1"/>
      <protection/>
    </xf>
    <xf numFmtId="180" fontId="82" fillId="0" borderId="10" xfId="0" applyNumberFormat="1" applyFont="1" applyFill="1" applyBorder="1" applyAlignment="1">
      <alignment horizontal="center" vertical="center"/>
    </xf>
    <xf numFmtId="180" fontId="82" fillId="0" borderId="10" xfId="66" applyNumberFormat="1" applyFont="1" applyFill="1" applyBorder="1" applyAlignment="1">
      <alignment horizontal="center" vertical="center" wrapText="1"/>
      <protection/>
    </xf>
    <xf numFmtId="179" fontId="82" fillId="0" borderId="0" xfId="0" applyNumberFormat="1" applyFont="1" applyFill="1" applyBorder="1" applyAlignment="1">
      <alignment horizontal="center" vertical="center" wrapText="1"/>
    </xf>
    <xf numFmtId="178" fontId="82" fillId="0" borderId="0" xfId="0" applyNumberFormat="1" applyFont="1" applyFill="1" applyBorder="1" applyAlignment="1">
      <alignment horizontal="center" vertical="center" wrapText="1"/>
    </xf>
    <xf numFmtId="0" fontId="82" fillId="0" borderId="0" xfId="0" applyFont="1" applyFill="1" applyBorder="1" applyAlignment="1">
      <alignment horizontal="center" vertical="center" wrapText="1"/>
    </xf>
    <xf numFmtId="0" fontId="86" fillId="0" borderId="0" xfId="0" applyFont="1" applyBorder="1" applyAlignment="1">
      <alignment vertical="center"/>
    </xf>
    <xf numFmtId="0" fontId="86" fillId="0" borderId="0" xfId="0" applyFont="1" applyAlignment="1">
      <alignment vertical="center"/>
    </xf>
    <xf numFmtId="0" fontId="61" fillId="0" borderId="14" xfId="0" applyFont="1" applyFill="1" applyBorder="1" applyAlignment="1">
      <alignment vertical="center" wrapText="1"/>
    </xf>
    <xf numFmtId="0" fontId="61" fillId="0" borderId="13" xfId="0" applyFont="1" applyFill="1" applyBorder="1" applyAlignment="1">
      <alignment vertical="center" wrapText="1"/>
    </xf>
    <xf numFmtId="49" fontId="87" fillId="0" borderId="10" xfId="69" applyNumberFormat="1" applyFont="1" applyFill="1" applyBorder="1" applyAlignment="1">
      <alignment horizontal="left" vertical="center" wrapText="1"/>
      <protection/>
    </xf>
    <xf numFmtId="178" fontId="87" fillId="0" borderId="10" xfId="69" applyNumberFormat="1" applyFont="1" applyFill="1" applyBorder="1" applyAlignment="1">
      <alignment horizontal="center" vertical="center" wrapText="1"/>
      <protection/>
    </xf>
    <xf numFmtId="178" fontId="87" fillId="0" borderId="10" xfId="46" applyNumberFormat="1" applyFont="1" applyFill="1" applyBorder="1" applyAlignment="1">
      <alignment horizontal="center" vertical="center"/>
      <protection/>
    </xf>
    <xf numFmtId="179" fontId="87" fillId="0" borderId="10" xfId="46" applyNumberFormat="1" applyFont="1" applyFill="1" applyBorder="1" applyAlignment="1">
      <alignment horizontal="center" vertical="center"/>
      <protection/>
    </xf>
    <xf numFmtId="0" fontId="87" fillId="0" borderId="0" xfId="0" applyFont="1" applyAlignment="1">
      <alignment vertical="center"/>
    </xf>
    <xf numFmtId="0" fontId="44" fillId="0" borderId="10" xfId="0" applyFont="1" applyBorder="1" applyAlignment="1">
      <alignment horizontal="center" vertical="center" wrapText="1"/>
    </xf>
    <xf numFmtId="0" fontId="2" fillId="0" borderId="10" xfId="66" applyFont="1" applyFill="1" applyBorder="1" applyAlignment="1">
      <alignment horizontal="center" vertical="center" wrapText="1"/>
      <protection/>
    </xf>
    <xf numFmtId="177" fontId="3" fillId="0" borderId="10" xfId="62" applyNumberFormat="1" applyFont="1" applyFill="1" applyBorder="1" applyAlignment="1" applyProtection="1">
      <alignment horizontal="center" vertical="center" wrapText="1"/>
      <protection hidden="1"/>
    </xf>
    <xf numFmtId="0" fontId="2" fillId="0" borderId="10" xfId="0" applyFont="1" applyBorder="1" applyAlignment="1">
      <alignment horizontal="center" vertical="center" wrapText="1"/>
    </xf>
    <xf numFmtId="177" fontId="3" fillId="0" borderId="0" xfId="62" applyNumberFormat="1" applyFont="1" applyFill="1" applyBorder="1" applyAlignment="1" applyProtection="1">
      <alignment horizontal="center" vertical="center" wrapText="1"/>
      <protection hidden="1"/>
    </xf>
    <xf numFmtId="0" fontId="3" fillId="0" borderId="0" xfId="62" applyNumberFormat="1" applyFont="1" applyFill="1" applyBorder="1" applyAlignment="1">
      <alignment horizontal="center" vertical="center" wrapText="1"/>
      <protection/>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6" fillId="0" borderId="10" xfId="0" applyFont="1" applyBorder="1" applyAlignment="1">
      <alignment horizontal="left" vertical="center" wrapText="1"/>
    </xf>
    <xf numFmtId="0" fontId="26" fillId="0" borderId="10" xfId="49" applyFont="1" applyFill="1" applyBorder="1" applyAlignment="1">
      <alignment horizontal="center" vertical="center" wrapText="1"/>
      <protection/>
    </xf>
    <xf numFmtId="0" fontId="42" fillId="0" borderId="10" xfId="61"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180" fontId="20" fillId="0" borderId="10" xfId="0" applyNumberFormat="1" applyFont="1" applyBorder="1" applyAlignment="1">
      <alignment horizontal="center" vertical="center"/>
    </xf>
    <xf numFmtId="180" fontId="48" fillId="0" borderId="10" xfId="0" applyNumberFormat="1" applyFont="1" applyBorder="1" applyAlignment="1">
      <alignment horizontal="center" vertical="center"/>
    </xf>
    <xf numFmtId="180" fontId="26" fillId="0" borderId="10" xfId="0" applyNumberFormat="1" applyFont="1" applyBorder="1" applyAlignment="1">
      <alignment horizontal="center" vertical="center"/>
    </xf>
    <xf numFmtId="180" fontId="48" fillId="0" borderId="10" xfId="0" applyNumberFormat="1" applyFont="1" applyBorder="1" applyAlignment="1">
      <alignment horizontal="center" vertical="center"/>
    </xf>
    <xf numFmtId="180" fontId="2" fillId="0" borderId="10" xfId="0" applyNumberFormat="1" applyFont="1" applyBorder="1" applyAlignment="1">
      <alignment horizontal="center" vertical="center"/>
    </xf>
    <xf numFmtId="180" fontId="26" fillId="0" borderId="10" xfId="0" applyNumberFormat="1" applyFont="1" applyBorder="1" applyAlignment="1">
      <alignment horizontal="center" vertical="center"/>
    </xf>
    <xf numFmtId="180" fontId="0" fillId="0" borderId="0" xfId="0" applyNumberFormat="1" applyAlignment="1">
      <alignment horizontal="center" vertical="center"/>
    </xf>
    <xf numFmtId="0" fontId="88" fillId="0" borderId="0" xfId="0" applyFont="1" applyAlignment="1">
      <alignment vertical="center"/>
    </xf>
    <xf numFmtId="179" fontId="82" fillId="0" borderId="10" xfId="47" applyNumberFormat="1" applyFont="1" applyFill="1" applyBorder="1" applyAlignment="1" applyProtection="1">
      <alignment horizontal="left" vertical="center" wrapText="1"/>
      <protection/>
    </xf>
    <xf numFmtId="0" fontId="72" fillId="0" borderId="0" xfId="0" applyFont="1" applyAlignment="1">
      <alignment horizontal="center" vertical="center" wrapText="1"/>
    </xf>
    <xf numFmtId="0" fontId="49" fillId="0" borderId="10" xfId="46" applyFont="1" applyFill="1" applyBorder="1" applyAlignment="1">
      <alignment horizontal="center" vertical="center" wrapText="1"/>
      <protection/>
    </xf>
    <xf numFmtId="179" fontId="49" fillId="0" borderId="10" xfId="46" applyNumberFormat="1" applyFont="1" applyFill="1" applyBorder="1" applyAlignment="1">
      <alignment horizontal="center" vertical="center" wrapText="1"/>
      <protection/>
    </xf>
    <xf numFmtId="49" fontId="2" fillId="0" borderId="10" xfId="69" applyNumberFormat="1" applyFont="1" applyFill="1" applyBorder="1" applyAlignment="1">
      <alignment horizontal="center" vertical="center" wrapText="1"/>
      <protection/>
    </xf>
    <xf numFmtId="178" fontId="2" fillId="0" borderId="10" xfId="69" applyNumberFormat="1" applyFont="1" applyFill="1" applyBorder="1" applyAlignment="1">
      <alignment horizontal="center" vertical="center" wrapText="1"/>
      <protection/>
    </xf>
    <xf numFmtId="179" fontId="2" fillId="0" borderId="10" xfId="69" applyNumberFormat="1" applyFont="1" applyFill="1" applyBorder="1" applyAlignment="1">
      <alignment horizontal="center" vertical="center" wrapText="1"/>
      <protection/>
    </xf>
    <xf numFmtId="178" fontId="2" fillId="0" borderId="10" xfId="46" applyNumberFormat="1" applyFont="1" applyFill="1" applyBorder="1" applyAlignment="1">
      <alignment horizontal="center" vertical="center"/>
      <protection/>
    </xf>
    <xf numFmtId="178" fontId="2" fillId="0" borderId="10" xfId="69" applyNumberFormat="1" applyFont="1" applyFill="1" applyBorder="1" applyAlignment="1">
      <alignment horizontal="center" vertical="center"/>
      <protection/>
    </xf>
    <xf numFmtId="178" fontId="2" fillId="0" borderId="10" xfId="46" applyNumberFormat="1" applyFont="1" applyFill="1" applyBorder="1" applyAlignment="1">
      <alignment horizontal="center" vertical="center" wrapText="1"/>
      <protection/>
    </xf>
    <xf numFmtId="0" fontId="2" fillId="0" borderId="10" xfId="46" applyFont="1" applyBorder="1" applyAlignment="1">
      <alignment horizontal="center"/>
      <protection/>
    </xf>
    <xf numFmtId="0" fontId="2" fillId="0" borderId="10" xfId="0" applyFont="1" applyBorder="1" applyAlignment="1">
      <alignment horizontal="center" vertical="center"/>
    </xf>
    <xf numFmtId="186" fontId="2" fillId="0" borderId="10" xfId="0" applyNumberFormat="1" applyFont="1" applyBorder="1" applyAlignment="1">
      <alignment horizontal="center" vertical="center"/>
    </xf>
    <xf numFmtId="0" fontId="2" fillId="0" borderId="11" xfId="0" applyFont="1" applyFill="1" applyBorder="1" applyAlignment="1">
      <alignment horizontal="center" vertical="center"/>
    </xf>
    <xf numFmtId="49" fontId="2" fillId="0" borderId="10" xfId="69" applyNumberFormat="1" applyFont="1" applyFill="1" applyBorder="1" applyAlignment="1">
      <alignment horizontal="left" vertical="center" wrapText="1"/>
      <protection/>
    </xf>
    <xf numFmtId="0" fontId="87" fillId="0" borderId="10" xfId="46" applyFont="1" applyBorder="1" applyAlignment="1">
      <alignment horizontal="left" vertical="center" wrapText="1"/>
      <protection/>
    </xf>
    <xf numFmtId="0" fontId="2" fillId="0" borderId="10" xfId="0" applyFont="1" applyFill="1" applyBorder="1" applyAlignment="1">
      <alignment horizontal="left" vertical="center" wrapText="1"/>
    </xf>
    <xf numFmtId="178" fontId="2" fillId="0" borderId="10" xfId="65" applyNumberFormat="1" applyFont="1" applyFill="1" applyBorder="1" applyAlignment="1">
      <alignment horizontal="center" vertical="center" wrapText="1"/>
      <protection/>
    </xf>
    <xf numFmtId="178" fontId="2" fillId="0" borderId="10" xfId="69" applyNumberFormat="1" applyFont="1" applyFill="1" applyBorder="1" applyAlignment="1">
      <alignment horizontal="center" vertical="center" wrapText="1"/>
      <protection/>
    </xf>
    <xf numFmtId="0" fontId="52" fillId="0" borderId="10" xfId="0" applyFont="1" applyBorder="1" applyAlignment="1">
      <alignment horizontal="left" vertical="center" wrapText="1"/>
    </xf>
    <xf numFmtId="0" fontId="26"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0" borderId="10" xfId="66"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6"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left" vertical="center"/>
    </xf>
    <xf numFmtId="180" fontId="2" fillId="0" borderId="10" xfId="0" applyNumberFormat="1" applyFont="1" applyBorder="1" applyAlignment="1">
      <alignment horizontal="center" vertical="center"/>
    </xf>
    <xf numFmtId="0" fontId="54" fillId="0" borderId="10" xfId="0" applyFont="1" applyBorder="1" applyAlignment="1">
      <alignment horizontal="left" vertical="center" wrapText="1"/>
    </xf>
    <xf numFmtId="0" fontId="48" fillId="0" borderId="10" xfId="0" applyFont="1" applyBorder="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xf>
    <xf numFmtId="0" fontId="21" fillId="0" borderId="0" xfId="0" applyFont="1" applyFill="1" applyAlignment="1">
      <alignment vertical="center"/>
    </xf>
    <xf numFmtId="0" fontId="3" fillId="0" borderId="10" xfId="0" applyNumberFormat="1" applyFont="1" applyFill="1" applyBorder="1" applyAlignment="1">
      <alignment horizontal="center" vertical="center" wrapText="1"/>
    </xf>
    <xf numFmtId="0" fontId="0" fillId="0" borderId="0" xfId="0" applyFill="1" applyAlignment="1">
      <alignment vertical="center"/>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ill="1" applyBorder="1" applyAlignment="1">
      <alignment vertical="center"/>
    </xf>
    <xf numFmtId="0" fontId="44" fillId="0" borderId="10" xfId="48" applyFont="1" applyFill="1" applyBorder="1" applyAlignment="1">
      <alignment horizontal="center" vertical="center" wrapText="1"/>
      <protection/>
    </xf>
    <xf numFmtId="0" fontId="2" fillId="0" borderId="10" xfId="0" applyFont="1" applyFill="1" applyBorder="1" applyAlignment="1">
      <alignment horizontal="center" vertical="center"/>
    </xf>
    <xf numFmtId="0" fontId="0" fillId="0" borderId="10" xfId="0" applyNumberFormat="1" applyFill="1" applyBorder="1" applyAlignment="1">
      <alignment vertical="center"/>
    </xf>
    <xf numFmtId="0" fontId="26" fillId="0" borderId="10" xfId="0" applyFont="1" applyFill="1" applyBorder="1" applyAlignment="1">
      <alignment horizontal="center" vertical="center"/>
    </xf>
    <xf numFmtId="0" fontId="55" fillId="0" borderId="20" xfId="0" applyFont="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xf>
    <xf numFmtId="17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horizontal="center" vertical="center"/>
    </xf>
    <xf numFmtId="178" fontId="25" fillId="0" borderId="10" xfId="66" applyNumberFormat="1" applyFont="1" applyFill="1" applyBorder="1" applyAlignment="1">
      <alignment horizontal="center" vertical="center" wrapText="1"/>
      <protection/>
    </xf>
    <xf numFmtId="0" fontId="25" fillId="0" borderId="10" xfId="66" applyFont="1" applyFill="1" applyBorder="1" applyAlignment="1">
      <alignment horizontal="center" vertical="center" wrapText="1"/>
      <protection/>
    </xf>
    <xf numFmtId="178" fontId="25" fillId="0" borderId="10" xfId="64" applyNumberFormat="1" applyFont="1" applyFill="1" applyBorder="1" applyAlignment="1">
      <alignment horizontal="center" vertical="center" wrapText="1"/>
      <protection/>
    </xf>
    <xf numFmtId="0" fontId="25" fillId="0" borderId="10" xfId="64" applyFont="1" applyFill="1" applyBorder="1" applyAlignment="1">
      <alignment horizontal="center" vertical="center"/>
      <protection/>
    </xf>
    <xf numFmtId="179" fontId="25" fillId="0" borderId="10" xfId="64" applyNumberFormat="1" applyFont="1" applyFill="1" applyBorder="1" applyAlignment="1">
      <alignment horizontal="center" vertical="center" wrapText="1"/>
      <protection/>
    </xf>
    <xf numFmtId="0" fontId="32" fillId="0" borderId="20" xfId="66" applyFont="1" applyFill="1" applyBorder="1" applyAlignment="1">
      <alignment horizontal="center" vertical="center"/>
      <protection/>
    </xf>
    <xf numFmtId="0" fontId="2" fillId="0" borderId="14" xfId="66" applyFont="1" applyFill="1" applyBorder="1" applyAlignment="1">
      <alignment horizontal="center" vertical="center" wrapText="1"/>
      <protection/>
    </xf>
    <xf numFmtId="0" fontId="25" fillId="0" borderId="11" xfId="66" applyFont="1" applyFill="1" applyBorder="1" applyAlignment="1">
      <alignment horizontal="center" vertical="center" wrapText="1"/>
      <protection/>
    </xf>
    <xf numFmtId="0" fontId="25" fillId="0" borderId="13" xfId="66" applyFont="1" applyFill="1" applyBorder="1" applyAlignment="1">
      <alignment horizontal="center" vertical="center" wrapText="1"/>
      <protection/>
    </xf>
    <xf numFmtId="179" fontId="25" fillId="0" borderId="10" xfId="66" applyNumberFormat="1" applyFont="1" applyFill="1" applyBorder="1" applyAlignment="1">
      <alignment horizontal="center" vertical="center" wrapText="1"/>
      <protection/>
    </xf>
    <xf numFmtId="2" fontId="25" fillId="0" borderId="15" xfId="64" applyNumberFormat="1" applyFont="1" applyFill="1" applyBorder="1" applyAlignment="1">
      <alignment horizontal="center" vertical="center" wrapText="1"/>
      <protection/>
    </xf>
    <xf numFmtId="2" fontId="25" fillId="0" borderId="12" xfId="64" applyNumberFormat="1" applyFont="1" applyFill="1" applyBorder="1" applyAlignment="1">
      <alignment horizontal="center" vertical="center" wrapText="1"/>
      <protection/>
    </xf>
    <xf numFmtId="180" fontId="25" fillId="0" borderId="10" xfId="66" applyNumberFormat="1" applyFont="1" applyFill="1" applyBorder="1" applyAlignment="1">
      <alignment horizontal="center" vertical="center" wrapText="1"/>
      <protection/>
    </xf>
    <xf numFmtId="0" fontId="2" fillId="0" borderId="10" xfId="34" applyFont="1" applyFill="1" applyBorder="1" applyAlignment="1">
      <alignment horizontal="center" vertical="center" wrapText="1"/>
      <protection/>
    </xf>
    <xf numFmtId="0" fontId="5" fillId="0" borderId="10" xfId="34" applyFont="1" applyFill="1" applyBorder="1" applyAlignment="1">
      <alignment horizontal="center" vertical="center"/>
      <protection/>
    </xf>
    <xf numFmtId="0" fontId="22" fillId="0" borderId="20" xfId="0" applyFont="1" applyFill="1" applyBorder="1" applyAlignment="1">
      <alignment horizontal="center" vertical="center"/>
    </xf>
    <xf numFmtId="177" fontId="2" fillId="0" borderId="10" xfId="34" applyNumberFormat="1" applyFont="1" applyFill="1" applyBorder="1" applyAlignment="1">
      <alignment horizontal="center" vertical="center" wrapText="1"/>
      <protection/>
    </xf>
    <xf numFmtId="179" fontId="2" fillId="0" borderId="15" xfId="0" applyNumberFormat="1" applyFont="1" applyFill="1" applyBorder="1" applyAlignment="1">
      <alignment horizontal="center" vertical="center" wrapText="1"/>
    </xf>
    <xf numFmtId="179" fontId="2" fillId="0" borderId="21" xfId="0" applyNumberFormat="1" applyFont="1" applyFill="1" applyBorder="1" applyAlignment="1">
      <alignment horizontal="center" vertical="center" wrapText="1"/>
    </xf>
    <xf numFmtId="179" fontId="2" fillId="0" borderId="12"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0" xfId="66" applyFont="1" applyBorder="1" applyAlignment="1">
      <alignment horizontal="center" vertical="center" wrapText="1"/>
      <protection/>
    </xf>
    <xf numFmtId="0" fontId="33" fillId="0" borderId="0" xfId="0" applyFont="1" applyAlignment="1">
      <alignment horizontal="center" vertical="center"/>
    </xf>
    <xf numFmtId="0" fontId="2" fillId="0" borderId="10" xfId="0" applyNumberFormat="1" applyFont="1" applyFill="1" applyBorder="1" applyAlignment="1">
      <alignment horizontal="center" vertical="center" wrapText="1"/>
    </xf>
    <xf numFmtId="1" fontId="2" fillId="0" borderId="10" xfId="64" applyNumberFormat="1" applyFont="1" applyFill="1" applyBorder="1" applyAlignment="1">
      <alignment horizontal="center" vertical="center" wrapText="1"/>
      <protection/>
    </xf>
    <xf numFmtId="0" fontId="2" fillId="0" borderId="14" xfId="66" applyFont="1" applyBorder="1" applyAlignment="1">
      <alignment horizontal="center" vertical="center" wrapText="1"/>
      <protection/>
    </xf>
    <xf numFmtId="0" fontId="2" fillId="0" borderId="11" xfId="66" applyFont="1" applyBorder="1" applyAlignment="1">
      <alignment horizontal="center" vertical="center" wrapText="1"/>
      <protection/>
    </xf>
    <xf numFmtId="0" fontId="2" fillId="0" borderId="13" xfId="66" applyFont="1" applyBorder="1" applyAlignment="1">
      <alignment horizontal="center" vertical="center" wrapText="1"/>
      <protection/>
    </xf>
    <xf numFmtId="0" fontId="2" fillId="0" borderId="10" xfId="66" applyFont="1" applyBorder="1" applyAlignment="1">
      <alignment horizontal="center" vertical="center" wrapText="1"/>
      <protection/>
    </xf>
    <xf numFmtId="1" fontId="26" fillId="0" borderId="15" xfId="64" applyNumberFormat="1" applyFont="1" applyFill="1" applyBorder="1" applyAlignment="1">
      <alignment horizontal="center" vertical="center" wrapText="1"/>
      <protection/>
    </xf>
    <xf numFmtId="179" fontId="2" fillId="0" borderId="14" xfId="0" applyNumberFormat="1" applyFont="1" applyFill="1" applyBorder="1" applyAlignment="1">
      <alignment horizontal="center" vertical="center" wrapText="1"/>
    </xf>
    <xf numFmtId="179" fontId="2" fillId="0" borderId="13" xfId="0" applyNumberFormat="1" applyFont="1" applyFill="1" applyBorder="1" applyAlignment="1">
      <alignment horizontal="center" vertical="center" wrapText="1"/>
    </xf>
    <xf numFmtId="1" fontId="26" fillId="0" borderId="10" xfId="64" applyNumberFormat="1" applyFont="1" applyFill="1" applyBorder="1" applyAlignment="1">
      <alignment horizontal="center" vertical="center" wrapText="1"/>
      <protection/>
    </xf>
    <xf numFmtId="179" fontId="2" fillId="0" borderId="15" xfId="0" applyNumberFormat="1" applyFont="1" applyFill="1" applyBorder="1" applyAlignment="1">
      <alignment horizontal="center" vertical="center" wrapText="1"/>
    </xf>
    <xf numFmtId="179" fontId="2" fillId="0" borderId="21" xfId="0" applyNumberFormat="1" applyFont="1" applyFill="1" applyBorder="1" applyAlignment="1">
      <alignment horizontal="center" vertical="center" wrapText="1"/>
    </xf>
    <xf numFmtId="179" fontId="2" fillId="0" borderId="19" xfId="0" applyNumberFormat="1" applyFont="1" applyFill="1" applyBorder="1" applyAlignment="1">
      <alignment horizontal="center" vertical="center" wrapText="1"/>
    </xf>
    <xf numFmtId="179" fontId="2" fillId="0" borderId="12" xfId="0" applyNumberFormat="1" applyFont="1" applyFill="1" applyBorder="1" applyAlignment="1">
      <alignment horizontal="center" vertical="center" wrapText="1"/>
    </xf>
    <xf numFmtId="1" fontId="26" fillId="0" borderId="19" xfId="64" applyNumberFormat="1" applyFont="1" applyFill="1" applyBorder="1" applyAlignment="1">
      <alignment horizontal="center" vertical="center" wrapText="1"/>
      <protection/>
    </xf>
    <xf numFmtId="1" fontId="26" fillId="0" borderId="18" xfId="64" applyNumberFormat="1" applyFont="1" applyFill="1" applyBorder="1" applyAlignment="1">
      <alignment horizontal="center" vertical="center" wrapText="1"/>
      <protection/>
    </xf>
    <xf numFmtId="0" fontId="2" fillId="0" borderId="14" xfId="66" applyFont="1" applyBorder="1" applyAlignment="1">
      <alignment horizontal="center" vertical="center" wrapText="1"/>
      <protection/>
    </xf>
    <xf numFmtId="0" fontId="2" fillId="0" borderId="11" xfId="66" applyFont="1" applyBorder="1" applyAlignment="1">
      <alignment horizontal="center" vertical="center" wrapText="1"/>
      <protection/>
    </xf>
    <xf numFmtId="0" fontId="2" fillId="0" borderId="13" xfId="66" applyFont="1" applyBorder="1" applyAlignment="1">
      <alignment horizontal="center" vertical="center" wrapText="1"/>
      <protection/>
    </xf>
    <xf numFmtId="0" fontId="2" fillId="0" borderId="10" xfId="0" applyFont="1" applyBorder="1" applyAlignment="1">
      <alignment horizontal="center" vertical="center" wrapText="1"/>
    </xf>
    <xf numFmtId="178" fontId="2" fillId="0" borderId="14" xfId="65" applyNumberFormat="1" applyFont="1" applyFill="1" applyBorder="1" applyAlignment="1">
      <alignment horizontal="center" vertical="center" wrapText="1"/>
      <protection/>
    </xf>
    <xf numFmtId="178" fontId="2" fillId="0" borderId="13" xfId="65" applyNumberFormat="1" applyFont="1" applyFill="1" applyBorder="1" applyAlignment="1">
      <alignment horizontal="center" vertical="center" wrapText="1"/>
      <protection/>
    </xf>
    <xf numFmtId="178" fontId="2" fillId="0" borderId="10" xfId="65" applyNumberFormat="1" applyFont="1" applyFill="1" applyBorder="1" applyAlignment="1">
      <alignment horizontal="center" vertical="center" wrapText="1"/>
      <protection/>
    </xf>
    <xf numFmtId="178" fontId="2" fillId="0" borderId="10" xfId="65" applyNumberFormat="1" applyFont="1" applyFill="1" applyBorder="1" applyAlignment="1">
      <alignment horizontal="center" vertical="center" wrapText="1"/>
      <protection/>
    </xf>
    <xf numFmtId="178" fontId="2" fillId="0" borderId="14" xfId="65" applyNumberFormat="1" applyFont="1" applyFill="1" applyBorder="1" applyAlignment="1">
      <alignment horizontal="center" vertical="center" wrapText="1"/>
      <protection/>
    </xf>
    <xf numFmtId="178" fontId="2" fillId="0" borderId="11" xfId="65" applyNumberFormat="1" applyFont="1" applyFill="1" applyBorder="1" applyAlignment="1">
      <alignment horizontal="center" vertical="center" wrapText="1"/>
      <protection/>
    </xf>
    <xf numFmtId="178" fontId="2" fillId="0" borderId="10" xfId="65" applyNumberFormat="1" applyFont="1" applyFill="1" applyBorder="1" applyAlignment="1">
      <alignment horizontal="center" vertical="center" wrapText="1"/>
      <protection/>
    </xf>
    <xf numFmtId="178" fontId="22" fillId="0" borderId="20" xfId="65" applyNumberFormat="1" applyFont="1" applyFill="1" applyBorder="1" applyAlignment="1">
      <alignment horizontal="center" vertical="center" wrapText="1"/>
      <protection/>
    </xf>
    <xf numFmtId="179" fontId="2" fillId="0" borderId="10" xfId="65" applyNumberFormat="1" applyFont="1" applyFill="1" applyBorder="1" applyAlignment="1">
      <alignment horizontal="center" vertical="center" wrapText="1"/>
      <protection/>
    </xf>
    <xf numFmtId="0" fontId="3" fillId="0" borderId="10" xfId="0" applyFont="1" applyBorder="1" applyAlignment="1">
      <alignment horizontal="center" vertical="center" wrapText="1"/>
    </xf>
    <xf numFmtId="0" fontId="34" fillId="0" borderId="10" xfId="0" applyFont="1" applyBorder="1" applyAlignment="1">
      <alignment horizontal="center" vertical="center"/>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9" fillId="0" borderId="20" xfId="0" applyFont="1" applyBorder="1" applyAlignment="1">
      <alignment horizontal="center" vertical="center"/>
    </xf>
    <xf numFmtId="0" fontId="2" fillId="0" borderId="19"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57" fillId="0" borderId="19" xfId="0" applyFont="1" applyFill="1" applyBorder="1" applyAlignment="1">
      <alignment horizontal="left" vertical="center" wrapText="1"/>
    </xf>
    <xf numFmtId="0" fontId="61" fillId="0" borderId="14"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13" xfId="0" applyFont="1" applyFill="1" applyBorder="1" applyAlignment="1">
      <alignment horizontal="center" vertical="center"/>
    </xf>
    <xf numFmtId="0" fontId="61" fillId="0" borderId="14"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5"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12" xfId="0" applyFont="1" applyFill="1" applyBorder="1" applyAlignment="1">
      <alignment horizontal="center" vertical="center"/>
    </xf>
    <xf numFmtId="0" fontId="64"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7" fillId="0" borderId="14" xfId="71" applyFont="1" applyFill="1" applyBorder="1" applyAlignment="1">
      <alignment horizontal="center" vertical="center" wrapText="1"/>
      <protection/>
    </xf>
    <xf numFmtId="0" fontId="57" fillId="0" borderId="11" xfId="71" applyFont="1" applyFill="1" applyBorder="1" applyAlignment="1">
      <alignment horizontal="center" vertical="center" wrapText="1"/>
      <protection/>
    </xf>
    <xf numFmtId="0" fontId="57" fillId="0" borderId="13" xfId="71" applyFont="1" applyFill="1" applyBorder="1" applyAlignment="1">
      <alignment horizontal="center" vertical="center" wrapText="1"/>
      <protection/>
    </xf>
    <xf numFmtId="0" fontId="34" fillId="0" borderId="0" xfId="0" applyFont="1" applyAlignment="1">
      <alignment horizontal="center" vertical="center"/>
    </xf>
    <xf numFmtId="0" fontId="57" fillId="0" borderId="10" xfId="71" applyFont="1" applyFill="1" applyBorder="1" applyAlignment="1">
      <alignment horizontal="center" vertical="center" wrapText="1"/>
      <protection/>
    </xf>
    <xf numFmtId="0" fontId="57" fillId="0" borderId="14"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62" fillId="0" borderId="20" xfId="0" applyFont="1" applyFill="1" applyBorder="1" applyAlignment="1">
      <alignment horizontal="center" vertical="center"/>
    </xf>
    <xf numFmtId="0" fontId="62" fillId="0" borderId="0" xfId="0" applyFont="1" applyFill="1" applyBorder="1" applyAlignment="1">
      <alignment horizontal="center" vertical="center"/>
    </xf>
    <xf numFmtId="0" fontId="57" fillId="0" borderId="17" xfId="0" applyFont="1" applyFill="1" applyBorder="1" applyAlignment="1">
      <alignment horizontal="center" vertical="center" wrapText="1"/>
    </xf>
    <xf numFmtId="0" fontId="57" fillId="0" borderId="19" xfId="71" applyFont="1" applyFill="1" applyBorder="1" applyAlignment="1">
      <alignment horizontal="center" vertical="center" wrapText="1"/>
      <protection/>
    </xf>
    <xf numFmtId="0" fontId="57" fillId="0" borderId="18" xfId="71" applyFont="1" applyFill="1" applyBorder="1" applyAlignment="1">
      <alignment horizontal="center" vertical="center" wrapText="1"/>
      <protection/>
    </xf>
    <xf numFmtId="0" fontId="57" fillId="0" borderId="15"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16" xfId="71" applyFont="1" applyFill="1" applyBorder="1" applyAlignment="1">
      <alignment horizontal="center" vertical="center" wrapText="1"/>
      <protection/>
    </xf>
    <xf numFmtId="0" fontId="57" fillId="0" borderId="22" xfId="71" applyFont="1" applyFill="1" applyBorder="1" applyAlignment="1">
      <alignment horizontal="center" vertical="center" wrapText="1"/>
      <protection/>
    </xf>
    <xf numFmtId="0" fontId="57" fillId="0" borderId="17" xfId="71" applyFont="1" applyFill="1" applyBorder="1" applyAlignment="1">
      <alignment horizontal="center" vertical="center" wrapText="1"/>
      <protection/>
    </xf>
    <xf numFmtId="0" fontId="34" fillId="0" borderId="0" xfId="0" applyFont="1" applyAlignment="1">
      <alignment horizontal="center" vertical="center"/>
    </xf>
    <xf numFmtId="0" fontId="59" fillId="0" borderId="16"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10" xfId="0" applyFont="1" applyFill="1" applyBorder="1" applyAlignment="1">
      <alignment horizontal="center" vertical="center" wrapText="1"/>
    </xf>
    <xf numFmtId="49" fontId="61" fillId="0" borderId="14" xfId="0" applyNumberFormat="1" applyFont="1" applyFill="1" applyBorder="1" applyAlignment="1">
      <alignment horizontal="center" vertical="center" wrapText="1"/>
    </xf>
    <xf numFmtId="49" fontId="61" fillId="0" borderId="11" xfId="0" applyNumberFormat="1"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59" fillId="0" borderId="19" xfId="0" applyFont="1" applyFill="1" applyBorder="1" applyAlignment="1">
      <alignment horizontal="left" vertical="center"/>
    </xf>
    <xf numFmtId="0" fontId="84" fillId="0" borderId="15" xfId="0" applyFont="1" applyFill="1" applyBorder="1" applyAlignment="1">
      <alignment horizontal="center" vertical="center" wrapText="1"/>
    </xf>
    <xf numFmtId="0" fontId="84" fillId="0" borderId="12" xfId="0" applyFont="1" applyFill="1" applyBorder="1" applyAlignment="1">
      <alignment horizontal="center" vertical="center" wrapText="1"/>
    </xf>
    <xf numFmtId="49" fontId="82" fillId="0" borderId="16" xfId="0" applyNumberFormat="1" applyFont="1" applyFill="1" applyBorder="1" applyAlignment="1">
      <alignment horizontal="center" vertical="center" wrapText="1"/>
    </xf>
    <xf numFmtId="49" fontId="82" fillId="0" borderId="18" xfId="0" applyNumberFormat="1" applyFont="1" applyFill="1" applyBorder="1" applyAlignment="1">
      <alignment horizontal="center" vertical="center" wrapText="1"/>
    </xf>
    <xf numFmtId="49" fontId="82" fillId="0" borderId="22" xfId="0" applyNumberFormat="1" applyFont="1" applyFill="1" applyBorder="1" applyAlignment="1">
      <alignment horizontal="center" vertical="center" wrapText="1"/>
    </xf>
    <xf numFmtId="49" fontId="82" fillId="0" borderId="23" xfId="0" applyNumberFormat="1" applyFont="1" applyFill="1" applyBorder="1" applyAlignment="1">
      <alignment horizontal="center" vertical="center" wrapText="1"/>
    </xf>
    <xf numFmtId="0" fontId="82" fillId="0" borderId="10" xfId="0" applyFont="1" applyFill="1" applyBorder="1" applyAlignment="1">
      <alignment horizontal="center" vertical="center" wrapText="1"/>
    </xf>
    <xf numFmtId="0" fontId="59" fillId="0" borderId="19" xfId="0" applyFont="1" applyFill="1" applyBorder="1" applyAlignment="1">
      <alignment horizontal="left" vertical="center" wrapText="1"/>
    </xf>
    <xf numFmtId="0" fontId="39" fillId="0" borderId="0" xfId="0" applyFont="1" applyBorder="1" applyAlignment="1">
      <alignment horizontal="center" vertical="center"/>
    </xf>
    <xf numFmtId="0" fontId="82" fillId="0" borderId="15"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12" xfId="0" applyFont="1" applyFill="1" applyBorder="1" applyAlignment="1">
      <alignment horizontal="center" vertical="center" wrapText="1"/>
    </xf>
    <xf numFmtId="0" fontId="82" fillId="0" borderId="14"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15" xfId="71" applyFont="1" applyFill="1" applyBorder="1" applyAlignment="1">
      <alignment horizontal="center" vertical="center" wrapText="1"/>
      <protection/>
    </xf>
    <xf numFmtId="0" fontId="82" fillId="0" borderId="21" xfId="71" applyFont="1" applyFill="1" applyBorder="1" applyAlignment="1">
      <alignment horizontal="center" vertical="center" wrapText="1"/>
      <protection/>
    </xf>
    <xf numFmtId="0" fontId="82" fillId="0" borderId="12" xfId="71" applyFont="1" applyFill="1" applyBorder="1" applyAlignment="1">
      <alignment horizontal="center" vertical="center" wrapText="1"/>
      <protection/>
    </xf>
    <xf numFmtId="0" fontId="82" fillId="0" borderId="16" xfId="0" applyFont="1" applyFill="1" applyBorder="1" applyAlignment="1">
      <alignment horizontal="center" vertical="center" wrapText="1"/>
    </xf>
    <xf numFmtId="0" fontId="82" fillId="0" borderId="22" xfId="0" applyFont="1" applyFill="1" applyBorder="1" applyAlignment="1">
      <alignment horizontal="center" vertical="center" wrapText="1"/>
    </xf>
    <xf numFmtId="0" fontId="82" fillId="0" borderId="17" xfId="0" applyFont="1" applyFill="1" applyBorder="1" applyAlignment="1">
      <alignment horizontal="center" vertical="center" wrapText="1"/>
    </xf>
    <xf numFmtId="0" fontId="82" fillId="0" borderId="11" xfId="0" applyFont="1" applyFill="1" applyBorder="1" applyAlignment="1">
      <alignment horizontal="center" vertical="center" wrapText="1"/>
    </xf>
    <xf numFmtId="0" fontId="82" fillId="0" borderId="14" xfId="71" applyFont="1" applyFill="1" applyBorder="1" applyAlignment="1">
      <alignment horizontal="center" vertical="center" wrapText="1"/>
      <protection/>
    </xf>
    <xf numFmtId="0" fontId="82" fillId="0" borderId="13" xfId="71"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1" fillId="0" borderId="20" xfId="0" applyFont="1" applyBorder="1" applyAlignment="1">
      <alignment horizontal="center" vertical="center"/>
    </xf>
    <xf numFmtId="178" fontId="25" fillId="0" borderId="10" xfId="47" applyNumberFormat="1" applyFont="1" applyFill="1" applyBorder="1" applyAlignment="1">
      <alignment horizontal="center" vertical="center" wrapText="1"/>
      <protection/>
    </xf>
    <xf numFmtId="178" fontId="25" fillId="0" borderId="10" xfId="46" applyNumberFormat="1" applyFont="1" applyFill="1" applyBorder="1" applyAlignment="1">
      <alignment horizontal="center" vertical="center" wrapText="1"/>
      <protection/>
    </xf>
    <xf numFmtId="179" fontId="25" fillId="0" borderId="10" xfId="46" applyNumberFormat="1" applyFont="1" applyFill="1" applyBorder="1" applyAlignment="1">
      <alignment horizontal="center" vertical="center" wrapText="1"/>
      <protection/>
    </xf>
    <xf numFmtId="0" fontId="22" fillId="0" borderId="0" xfId="47" applyFont="1" applyFill="1" applyBorder="1" applyAlignment="1">
      <alignment horizontal="center" vertical="center" wrapText="1"/>
      <protection/>
    </xf>
    <xf numFmtId="0" fontId="40" fillId="0" borderId="0" xfId="47" applyFont="1" applyFill="1" applyBorder="1" applyAlignment="1">
      <alignment horizontal="center" vertical="center" wrapText="1"/>
      <protection/>
    </xf>
    <xf numFmtId="183" fontId="40" fillId="0" borderId="0" xfId="47" applyNumberFormat="1" applyFont="1" applyFill="1" applyBorder="1" applyAlignment="1">
      <alignment horizontal="center" vertical="center" wrapText="1"/>
      <protection/>
    </xf>
    <xf numFmtId="0" fontId="25" fillId="0" borderId="10" xfId="46" applyFont="1" applyFill="1" applyBorder="1" applyAlignment="1">
      <alignment horizontal="center" vertical="center" wrapText="1"/>
      <protection/>
    </xf>
    <xf numFmtId="179" fontId="34" fillId="0" borderId="14" xfId="47" applyNumberFormat="1" applyFont="1" applyFill="1" applyBorder="1" applyAlignment="1">
      <alignment horizontal="center" vertical="center" wrapText="1"/>
      <protection/>
    </xf>
    <xf numFmtId="179" fontId="23" fillId="0" borderId="11" xfId="47" applyNumberFormat="1" applyFont="1" applyFill="1" applyBorder="1" applyAlignment="1">
      <alignment horizontal="center" vertical="center" wrapText="1"/>
      <protection/>
    </xf>
    <xf numFmtId="179" fontId="23" fillId="0" borderId="13" xfId="47" applyNumberFormat="1" applyFont="1" applyFill="1" applyBorder="1" applyAlignment="1">
      <alignment horizontal="center" vertical="center" wrapText="1"/>
      <protection/>
    </xf>
    <xf numFmtId="179" fontId="34" fillId="0" borderId="11" xfId="47" applyNumberFormat="1" applyFont="1" applyFill="1" applyBorder="1" applyAlignment="1">
      <alignment horizontal="center" vertical="center" wrapText="1"/>
      <protection/>
    </xf>
    <xf numFmtId="179" fontId="34" fillId="0" borderId="13" xfId="47" applyNumberFormat="1" applyFont="1" applyFill="1" applyBorder="1" applyAlignment="1">
      <alignment horizontal="center" vertical="center" wrapText="1"/>
      <protection/>
    </xf>
    <xf numFmtId="179" fontId="23" fillId="0" borderId="10" xfId="47" applyNumberFormat="1" applyFont="1" applyFill="1" applyBorder="1" applyAlignment="1">
      <alignment horizontal="center" vertical="center" wrapText="1"/>
      <protection/>
    </xf>
    <xf numFmtId="178" fontId="22" fillId="0" borderId="0" xfId="47" applyNumberFormat="1" applyFont="1" applyFill="1" applyBorder="1" applyAlignment="1" applyProtection="1">
      <alignment horizontal="center" vertical="center" wrapText="1"/>
      <protection/>
    </xf>
    <xf numFmtId="178" fontId="22" fillId="0" borderId="0" xfId="47" applyNumberFormat="1" applyFont="1" applyFill="1" applyBorder="1" applyAlignment="1" applyProtection="1">
      <alignment horizontal="center" vertical="center" wrapText="1"/>
      <protection/>
    </xf>
    <xf numFmtId="178" fontId="22" fillId="0" borderId="20" xfId="47" applyNumberFormat="1" applyFont="1" applyFill="1" applyBorder="1" applyAlignment="1" applyProtection="1">
      <alignment horizontal="center" vertical="center" wrapText="1"/>
      <protection/>
    </xf>
    <xf numFmtId="179" fontId="34" fillId="0" borderId="10" xfId="47" applyNumberFormat="1" applyFont="1" applyFill="1" applyBorder="1" applyAlignment="1">
      <alignment horizontal="center" vertical="center" wrapText="1"/>
      <protection/>
    </xf>
    <xf numFmtId="0" fontId="3" fillId="0" borderId="10" xfId="0" applyFont="1" applyBorder="1" applyAlignment="1">
      <alignment horizontal="justify" vertical="center" wrapText="1"/>
    </xf>
    <xf numFmtId="0" fontId="3" fillId="0" borderId="11" xfId="0" applyFont="1" applyBorder="1" applyAlignment="1">
      <alignment horizontal="center" vertical="center" wrapText="1"/>
    </xf>
    <xf numFmtId="0" fontId="22" fillId="0" borderId="0" xfId="0" applyFont="1" applyAlignment="1">
      <alignment horizontal="center" vertical="center"/>
    </xf>
    <xf numFmtId="0" fontId="3" fillId="0" borderId="10" xfId="0" applyFont="1" applyBorder="1" applyAlignment="1">
      <alignment horizontal="left" vertical="center" wrapText="1"/>
    </xf>
    <xf numFmtId="179" fontId="2" fillId="0" borderId="14" xfId="0" applyNumberFormat="1" applyFont="1" applyFill="1" applyBorder="1" applyAlignment="1">
      <alignment horizontal="center" vertical="center" wrapText="1"/>
    </xf>
    <xf numFmtId="179" fontId="2" fillId="0" borderId="13" xfId="0" applyNumberFormat="1" applyFont="1" applyFill="1" applyBorder="1" applyAlignment="1">
      <alignment horizontal="center" vertical="center" wrapText="1"/>
    </xf>
    <xf numFmtId="0" fontId="33" fillId="0" borderId="0" xfId="0" applyFont="1" applyAlignment="1">
      <alignment horizontal="center" vertical="center"/>
    </xf>
    <xf numFmtId="179" fontId="2" fillId="0" borderId="10"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179" fontId="2" fillId="0" borderId="16" xfId="0" applyNumberFormat="1" applyFont="1" applyFill="1" applyBorder="1" applyAlignment="1">
      <alignment horizontal="center" vertical="center" wrapText="1"/>
    </xf>
    <xf numFmtId="179" fontId="2" fillId="0" borderId="19" xfId="0" applyNumberFormat="1" applyFont="1" applyFill="1" applyBorder="1" applyAlignment="1">
      <alignment horizontal="center" vertical="center" wrapText="1"/>
    </xf>
    <xf numFmtId="179" fontId="2" fillId="0" borderId="18" xfId="0" applyNumberFormat="1" applyFont="1" applyFill="1" applyBorder="1" applyAlignment="1">
      <alignment horizontal="center" vertical="center" wrapText="1"/>
    </xf>
    <xf numFmtId="179" fontId="2" fillId="0" borderId="10" xfId="70" applyNumberFormat="1" applyFont="1" applyFill="1" applyBorder="1" applyAlignment="1">
      <alignment horizontal="center" vertical="center" wrapText="1"/>
      <protection/>
    </xf>
    <xf numFmtId="179" fontId="2" fillId="0" borderId="14" xfId="70" applyNumberFormat="1" applyFont="1" applyFill="1" applyBorder="1" applyAlignment="1">
      <alignment horizontal="center" vertical="center" wrapText="1"/>
      <protection/>
    </xf>
    <xf numFmtId="179" fontId="2" fillId="0" borderId="13" xfId="70" applyNumberFormat="1" applyFont="1" applyFill="1" applyBorder="1" applyAlignment="1">
      <alignment horizontal="center" vertical="center" wrapText="1"/>
      <protection/>
    </xf>
    <xf numFmtId="0" fontId="2" fillId="0" borderId="14" xfId="73" applyFont="1" applyFill="1" applyBorder="1" applyAlignment="1">
      <alignment horizontal="center" vertical="center" wrapText="1"/>
      <protection/>
    </xf>
    <xf numFmtId="0" fontId="2" fillId="0" borderId="11" xfId="73" applyFont="1" applyFill="1" applyBorder="1" applyAlignment="1">
      <alignment horizontal="center" vertical="center" wrapText="1"/>
      <protection/>
    </xf>
    <xf numFmtId="0" fontId="2" fillId="0" borderId="13" xfId="73"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179" fontId="2" fillId="0" borderId="10" xfId="73" applyNumberFormat="1" applyFont="1" applyFill="1" applyBorder="1" applyAlignment="1">
      <alignment horizontal="center" vertical="center" wrapText="1"/>
      <protection/>
    </xf>
    <xf numFmtId="0" fontId="33" fillId="0" borderId="0" xfId="0" applyFont="1" applyAlignment="1">
      <alignment horizontal="center" vertical="center"/>
    </xf>
    <xf numFmtId="0" fontId="2" fillId="0" borderId="10" xfId="0" applyNumberFormat="1" applyFont="1" applyFill="1" applyBorder="1" applyAlignment="1">
      <alignment horizontal="center" vertical="center" wrapText="1"/>
    </xf>
    <xf numFmtId="179" fontId="2" fillId="0" borderId="11" xfId="0" applyNumberFormat="1" applyFont="1" applyFill="1" applyBorder="1" applyAlignment="1">
      <alignment horizontal="center" vertical="center" wrapText="1"/>
    </xf>
    <xf numFmtId="0" fontId="2" fillId="0" borderId="16" xfId="73" applyFont="1" applyFill="1" applyBorder="1" applyAlignment="1">
      <alignment horizontal="center" vertical="center" wrapText="1"/>
      <protection/>
    </xf>
    <xf numFmtId="0" fontId="2" fillId="0" borderId="17" xfId="73" applyFont="1" applyFill="1" applyBorder="1" applyAlignment="1">
      <alignment horizontal="center" vertical="center" wrapText="1"/>
      <protection/>
    </xf>
    <xf numFmtId="179" fontId="2" fillId="0" borderId="14" xfId="73" applyNumberFormat="1" applyFont="1" applyFill="1" applyBorder="1" applyAlignment="1">
      <alignment horizontal="center" vertical="center" wrapText="1"/>
      <protection/>
    </xf>
    <xf numFmtId="179" fontId="2" fillId="0" borderId="13" xfId="73" applyNumberFormat="1" applyFont="1" applyFill="1" applyBorder="1" applyAlignment="1">
      <alignment horizontal="center" vertical="center" wrapText="1"/>
      <protection/>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center" vertical="center"/>
    </xf>
    <xf numFmtId="0" fontId="22" fillId="0" borderId="0" xfId="0" applyFont="1" applyBorder="1" applyAlignment="1">
      <alignment horizontal="center" vertical="center"/>
    </xf>
    <xf numFmtId="179" fontId="4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6" fillId="0" borderId="10" xfId="49"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6" fillId="0" borderId="10" xfId="49" applyFont="1" applyFill="1" applyBorder="1" applyAlignment="1" applyProtection="1">
      <alignment horizontal="center" vertical="center" wrapText="1"/>
      <protection/>
    </xf>
    <xf numFmtId="0" fontId="26" fillId="0" borderId="10" xfId="68" applyFont="1" applyFill="1" applyBorder="1" applyAlignment="1" applyProtection="1">
      <alignment horizontal="center" vertical="center" wrapText="1"/>
      <protection/>
    </xf>
    <xf numFmtId="0" fontId="26" fillId="0" borderId="16" xfId="49" applyFont="1" applyFill="1" applyBorder="1" applyAlignment="1" applyProtection="1">
      <alignment horizontal="center" vertical="center" wrapText="1"/>
      <protection/>
    </xf>
    <xf numFmtId="0" fontId="26" fillId="0" borderId="17" xfId="49" applyFont="1" applyFill="1" applyBorder="1" applyAlignment="1" applyProtection="1">
      <alignment horizontal="center" vertical="center" wrapText="1"/>
      <protection/>
    </xf>
    <xf numFmtId="0" fontId="33" fillId="0" borderId="0" xfId="0" applyFont="1" applyAlignment="1">
      <alignment horizontal="center" vertical="center"/>
    </xf>
    <xf numFmtId="179" fontId="2" fillId="0" borderId="14" xfId="0" applyNumberFormat="1" applyFont="1" applyFill="1" applyBorder="1" applyAlignment="1">
      <alignment horizontal="center" vertical="center" wrapText="1"/>
    </xf>
    <xf numFmtId="179" fontId="2" fillId="0" borderId="11" xfId="0" applyNumberFormat="1" applyFont="1" applyFill="1" applyBorder="1" applyAlignment="1">
      <alignment horizontal="center" vertical="center" wrapText="1"/>
    </xf>
    <xf numFmtId="179" fontId="2" fillId="0" borderId="13" xfId="0" applyNumberFormat="1" applyFont="1" applyFill="1" applyBorder="1" applyAlignment="1">
      <alignment horizontal="center" vertical="center" wrapText="1"/>
    </xf>
    <xf numFmtId="179" fontId="2" fillId="0" borderId="16" xfId="0" applyNumberFormat="1" applyFont="1" applyFill="1" applyBorder="1" applyAlignment="1">
      <alignment horizontal="center" vertical="center" wrapText="1"/>
    </xf>
    <xf numFmtId="179" fontId="2" fillId="0" borderId="22" xfId="0" applyNumberFormat="1" applyFont="1" applyFill="1" applyBorder="1" applyAlignment="1">
      <alignment horizontal="center" vertical="center" wrapText="1"/>
    </xf>
    <xf numFmtId="179" fontId="2" fillId="0" borderId="17" xfId="0" applyNumberFormat="1" applyFont="1" applyFill="1" applyBorder="1" applyAlignment="1">
      <alignment horizontal="center" vertical="center" wrapText="1"/>
    </xf>
    <xf numFmtId="0" fontId="43" fillId="0" borderId="20" xfId="61" applyFont="1" applyBorder="1" applyAlignment="1">
      <alignment horizontal="center" vertical="center" wrapText="1"/>
      <protection/>
    </xf>
    <xf numFmtId="0" fontId="43" fillId="0" borderId="20" xfId="61" applyFont="1" applyBorder="1" applyAlignment="1">
      <alignment horizontal="center" vertical="center"/>
      <protection/>
    </xf>
    <xf numFmtId="0" fontId="42" fillId="0" borderId="10" xfId="61" applyFont="1" applyFill="1" applyBorder="1" applyAlignment="1">
      <alignment horizontal="center" vertical="center"/>
      <protection/>
    </xf>
    <xf numFmtId="0" fontId="42" fillId="0" borderId="14" xfId="61" applyFont="1" applyFill="1" applyBorder="1" applyAlignment="1">
      <alignment horizontal="center" vertical="center"/>
      <protection/>
    </xf>
    <xf numFmtId="0" fontId="42" fillId="0" borderId="10" xfId="61" applyFont="1" applyFill="1" applyBorder="1" applyAlignment="1">
      <alignment horizontal="center" vertical="center" wrapText="1"/>
      <protection/>
    </xf>
    <xf numFmtId="0" fontId="42" fillId="0" borderId="15" xfId="61" applyFont="1" applyFill="1" applyBorder="1" applyAlignment="1">
      <alignment horizontal="center" vertical="center"/>
      <protection/>
    </xf>
    <xf numFmtId="0" fontId="42" fillId="0" borderId="21" xfId="61" applyFont="1" applyFill="1" applyBorder="1" applyAlignment="1">
      <alignment horizontal="center" vertical="center"/>
      <protection/>
    </xf>
    <xf numFmtId="0" fontId="42" fillId="0" borderId="12" xfId="61" applyFont="1" applyFill="1" applyBorder="1" applyAlignment="1">
      <alignment horizontal="center" vertical="center"/>
      <protection/>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2" fillId="0" borderId="20" xfId="0" applyFont="1" applyBorder="1" applyAlignment="1">
      <alignment horizontal="center" vertical="center"/>
    </xf>
    <xf numFmtId="0" fontId="3" fillId="0" borderId="0" xfId="62" applyNumberFormat="1" applyFont="1" applyFill="1" applyBorder="1" applyAlignment="1">
      <alignment horizontal="center" vertical="center" wrapText="1"/>
      <protection/>
    </xf>
    <xf numFmtId="177" fontId="3" fillId="0" borderId="0" xfId="62" applyNumberFormat="1" applyFont="1" applyFill="1" applyBorder="1" applyAlignment="1" applyProtection="1">
      <alignment horizontal="center" vertical="center" wrapText="1"/>
      <protection hidden="1"/>
    </xf>
    <xf numFmtId="0" fontId="2" fillId="0" borderId="10" xfId="0" applyFont="1" applyBorder="1" applyAlignment="1">
      <alignment horizontal="center" vertical="center" wrapText="1"/>
    </xf>
    <xf numFmtId="0" fontId="3" fillId="0" borderId="0" xfId="62" applyFont="1" applyFill="1" applyBorder="1" applyAlignment="1" applyProtection="1">
      <alignment horizontal="center" vertical="center" wrapText="1"/>
      <protection hidden="1"/>
    </xf>
    <xf numFmtId="0" fontId="42" fillId="0" borderId="15" xfId="0" applyFont="1" applyBorder="1" applyAlignment="1">
      <alignment horizontal="center" vertical="center" wrapText="1"/>
    </xf>
    <xf numFmtId="0" fontId="42" fillId="0" borderId="12" xfId="0" applyFont="1" applyBorder="1" applyAlignment="1">
      <alignment horizontal="center" vertical="center" wrapText="1"/>
    </xf>
    <xf numFmtId="0" fontId="67" fillId="0" borderId="0" xfId="0" applyFont="1" applyAlignment="1">
      <alignment horizontal="center" vertical="center"/>
    </xf>
    <xf numFmtId="0" fontId="35" fillId="0" borderId="20"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0" xfId="0" applyFont="1" applyFill="1" applyBorder="1" applyAlignment="1">
      <alignment vertical="center"/>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vertical="center" wrapText="1"/>
    </xf>
    <xf numFmtId="0" fontId="1" fillId="0" borderId="10" xfId="0"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xf>
    <xf numFmtId="0" fontId="26" fillId="0" borderId="0" xfId="0" applyFont="1" applyFill="1" applyAlignment="1">
      <alignment horizontal="center" vertical="center"/>
    </xf>
    <xf numFmtId="0" fontId="2" fillId="0" borderId="10" xfId="44" applyFont="1" applyFill="1" applyBorder="1" applyAlignment="1">
      <alignment horizontal="center" vertical="center" wrapText="1"/>
      <protection/>
    </xf>
    <xf numFmtId="184" fontId="2" fillId="0" borderId="10" xfId="44" applyNumberFormat="1" applyFont="1" applyFill="1" applyBorder="1" applyAlignment="1">
      <alignment horizontal="center" vertical="center" wrapText="1"/>
      <protection/>
    </xf>
    <xf numFmtId="0" fontId="2" fillId="0" borderId="10" xfId="44" applyFont="1" applyFill="1" applyBorder="1" applyAlignment="1">
      <alignment horizontal="center" vertical="center" wrapText="1"/>
      <protection/>
    </xf>
    <xf numFmtId="180" fontId="2" fillId="0" borderId="10" xfId="44" applyNumberFormat="1" applyFont="1" applyFill="1" applyBorder="1" applyAlignment="1">
      <alignment horizontal="center" vertical="center" wrapText="1"/>
      <protection/>
    </xf>
    <xf numFmtId="0" fontId="26" fillId="0" borderId="0" xfId="0" applyFont="1" applyFill="1" applyAlignment="1">
      <alignment horizontal="center" vertical="center"/>
    </xf>
    <xf numFmtId="184" fontId="2" fillId="0" borderId="10" xfId="44" applyNumberFormat="1" applyFont="1" applyFill="1" applyBorder="1" applyAlignment="1">
      <alignment horizontal="center" vertical="center" wrapText="1"/>
      <protection/>
    </xf>
    <xf numFmtId="177" fontId="2" fillId="0" borderId="10" xfId="44"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180" fontId="2" fillId="0" borderId="15"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68" fillId="0" borderId="0" xfId="0" applyFont="1" applyFill="1" applyAlignment="1">
      <alignment horizontal="center" vertical="center"/>
    </xf>
    <xf numFmtId="177" fontId="2" fillId="0" borderId="10" xfId="0" applyNumberFormat="1" applyFont="1" applyFill="1" applyBorder="1" applyAlignment="1">
      <alignment horizontal="center" vertical="center" wrapText="1"/>
    </xf>
    <xf numFmtId="177" fontId="45" fillId="0" borderId="10" xfId="0" applyNumberFormat="1" applyFont="1" applyFill="1" applyBorder="1" applyAlignment="1">
      <alignment horizontal="center" vertical="center" wrapText="1"/>
    </xf>
    <xf numFmtId="0" fontId="2" fillId="0" borderId="10" xfId="56" applyFont="1" applyFill="1" applyBorder="1" applyAlignment="1">
      <alignment horizontal="center" vertical="center" wrapText="1"/>
      <protection/>
    </xf>
    <xf numFmtId="0" fontId="0" fillId="0" borderId="0" xfId="0" applyFill="1" applyAlignment="1">
      <alignment horizontal="center" vertical="center"/>
    </xf>
    <xf numFmtId="180" fontId="26"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56"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184" fontId="42" fillId="0" borderId="10" xfId="0" applyNumberFormat="1" applyFont="1" applyFill="1" applyBorder="1" applyAlignment="1">
      <alignment horizontal="center" vertical="center" wrapText="1"/>
    </xf>
    <xf numFmtId="178" fontId="42" fillId="0" borderId="10" xfId="0" applyNumberFormat="1" applyFont="1" applyFill="1" applyBorder="1" applyAlignment="1">
      <alignment horizontal="center" vertical="center" wrapText="1"/>
    </xf>
    <xf numFmtId="0" fontId="20" fillId="0" borderId="0" xfId="0" applyFont="1" applyFill="1" applyAlignment="1">
      <alignment vertical="center"/>
    </xf>
    <xf numFmtId="0" fontId="2" fillId="0" borderId="0" xfId="0" applyFont="1" applyFill="1" applyAlignment="1">
      <alignment vertical="center"/>
    </xf>
    <xf numFmtId="178" fontId="2" fillId="0" borderId="0" xfId="0" applyNumberFormat="1" applyFont="1" applyFill="1" applyAlignment="1">
      <alignment vertical="center"/>
    </xf>
    <xf numFmtId="178" fontId="0" fillId="0" borderId="0" xfId="0" applyNumberFormat="1" applyFill="1" applyAlignment="1">
      <alignment vertical="center"/>
    </xf>
  </cellXfs>
  <cellStyles count="85">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e鯪9Y_x000B_" xfId="34"/>
    <cellStyle name="e鯪9Y_x000B__附表3" xfId="35"/>
    <cellStyle name="Percent" xfId="36"/>
    <cellStyle name="标题" xfId="37"/>
    <cellStyle name="标题 1" xfId="38"/>
    <cellStyle name="标题 2" xfId="39"/>
    <cellStyle name="标题 3" xfId="40"/>
    <cellStyle name="标题 4" xfId="41"/>
    <cellStyle name="差" xfId="42"/>
    <cellStyle name="常规 10" xfId="43"/>
    <cellStyle name="常规 10 2" xfId="44"/>
    <cellStyle name="常规 11" xfId="45"/>
    <cellStyle name="常规 2" xfId="46"/>
    <cellStyle name="常规 2 2" xfId="47"/>
    <cellStyle name="常规 3" xfId="48"/>
    <cellStyle name="常规 3_云南省抗旱规划实施方案附表4（86县）" xfId="49"/>
    <cellStyle name="常规 4" xfId="50"/>
    <cellStyle name="常规 7" xfId="51"/>
    <cellStyle name="常规 8" xfId="52"/>
    <cellStyle name="常规 9" xfId="53"/>
    <cellStyle name="常规_1～5万亩中型灌区表" xfId="54"/>
    <cellStyle name="常规_7拦河闸" xfId="55"/>
    <cellStyle name="常规_Sheet1" xfId="56"/>
    <cellStyle name="常规_Sheet1 2" xfId="57"/>
    <cellStyle name="常规_Sheet1 2 2" xfId="58"/>
    <cellStyle name="常规_Sheet1_6 2" xfId="59"/>
    <cellStyle name="常规_Sheet2 2" xfId="60"/>
    <cellStyle name="常规_Sheet3" xfId="61"/>
    <cellStyle name="常规_附表2十二五情况-(8910)08.20" xfId="62"/>
    <cellStyle name="常规_附表4-3_1" xfId="63"/>
    <cellStyle name="常规_附表5已建水库工程" xfId="64"/>
    <cellStyle name="常规_复件 0914灌溉规划-附表3、附表5表格规范化" xfId="65"/>
    <cellStyle name="常规_副本中型水库附表(10.27)" xfId="66"/>
    <cellStyle name="常规_工作大纲附表" xfId="67"/>
    <cellStyle name="常规_汇总 (受旱县) (86-2)" xfId="68"/>
    <cellStyle name="常规_建设内容_1" xfId="69"/>
    <cellStyle name="常规_全市瑞丽江调查表（附件3）" xfId="70"/>
    <cellStyle name="常规_泰和县农村自来水规划附表" xfId="71"/>
    <cellStyle name="常规_小一型" xfId="72"/>
    <cellStyle name="常规_一般最终" xfId="73"/>
    <cellStyle name="常规_一般最终 2" xfId="74"/>
    <cellStyle name="常规_宗-下发-3" xfId="75"/>
    <cellStyle name="Hyperlink" xfId="76"/>
    <cellStyle name="好" xfId="77"/>
    <cellStyle name="汇总" xfId="78"/>
    <cellStyle name="Currency" xfId="79"/>
    <cellStyle name="Currency [0]" xfId="80"/>
    <cellStyle name="计算" xfId="81"/>
    <cellStyle name="检查单元格" xfId="82"/>
    <cellStyle name="解释性文本" xfId="83"/>
    <cellStyle name="警告文本" xfId="84"/>
    <cellStyle name="链接单元格" xfId="85"/>
    <cellStyle name="Comma"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输出" xfId="95"/>
    <cellStyle name="输入" xfId="96"/>
    <cellStyle name="Followed Hyperlink" xfId="97"/>
    <cellStyle name="注释" xfId="98"/>
  </cellStyles>
  <dxfs count="8">
    <dxf>
      <font>
        <color indexed="9"/>
      </font>
    </dxf>
    <dxf>
      <font>
        <color indexed="9"/>
      </font>
    </dxf>
    <dxf>
      <font>
        <color indexed="9"/>
      </font>
    </dxf>
    <dxf>
      <font>
        <b val="0"/>
        <color indexed="9"/>
      </font>
    </dxf>
    <dxf>
      <font>
        <color indexed="9"/>
      </font>
    </dxf>
    <dxf>
      <font>
        <color indexed="9"/>
      </font>
    </dxf>
    <dxf>
      <font>
        <color rgb="FFFFFFFF"/>
      </font>
      <border/>
    </dxf>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30456;&#20851;&#35268;&#21010;\&#21313;&#19977;&#20116;&#35268;&#21010;\&#65288;&#26446;&#26641;&#27494;&#65289;&#20892;&#26449;&#39278;&#27700;&#25552;&#36136;&#22686;&#25928;&#21439;&#32423;&#35843;&#26597;&#12289;&#35268;&#2101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社会经济"/>
      <sheetName val="表2基本情况"/>
      <sheetName val="表3-1 工程汇总"/>
      <sheetName val="表3-2 小型工程汇总"/>
      <sheetName val="表4 投资汇总"/>
    </sheetNames>
    <sheetDataSet>
      <sheetData sheetId="2">
        <row r="22">
          <cell r="G22">
            <v>1556.9600000000007</v>
          </cell>
        </row>
        <row r="66">
          <cell r="G66">
            <v>1894.4500000000007</v>
          </cell>
        </row>
        <row r="129">
          <cell r="G129">
            <v>1214.9</v>
          </cell>
        </row>
        <row r="162">
          <cell r="G162">
            <v>150</v>
          </cell>
        </row>
        <row r="171">
          <cell r="G171">
            <v>85.5</v>
          </cell>
        </row>
        <row r="174">
          <cell r="G174">
            <v>772.6190476190477</v>
          </cell>
        </row>
        <row r="192">
          <cell r="G192">
            <v>177.39000000000001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92"/>
  <sheetViews>
    <sheetView zoomScalePageLayoutView="0" workbookViewId="0" topLeftCell="A1">
      <pane ySplit="2" topLeftCell="A3" activePane="bottomLeft" state="frozen"/>
      <selection pane="topLeft" activeCell="A1" sqref="A1"/>
      <selection pane="bottomLeft" activeCell="K10" sqref="K10"/>
    </sheetView>
  </sheetViews>
  <sheetFormatPr defaultColWidth="9.00390625" defaultRowHeight="13.5"/>
  <cols>
    <col min="1" max="1" width="8.75390625" style="50" customWidth="1"/>
    <col min="2" max="2" width="28.375" style="0" customWidth="1"/>
    <col min="3" max="3" width="20.625" style="76" customWidth="1"/>
    <col min="4" max="4" width="12.00390625" style="50" customWidth="1"/>
    <col min="5" max="5" width="7.625" style="50" customWidth="1"/>
    <col min="6" max="6" width="12.625" style="637" customWidth="1"/>
    <col min="9" max="9" width="12.125" style="0" customWidth="1"/>
    <col min="11" max="11" width="12.25390625" style="0" customWidth="1"/>
  </cols>
  <sheetData>
    <row r="1" spans="1:7" ht="25.5" customHeight="1">
      <c r="A1" s="687" t="s">
        <v>1862</v>
      </c>
      <c r="B1" s="687"/>
      <c r="C1" s="687"/>
      <c r="D1" s="687"/>
      <c r="E1" s="687"/>
      <c r="F1" s="687"/>
      <c r="G1" s="687"/>
    </row>
    <row r="2" spans="1:7" s="75" customFormat="1" ht="29.25" customHeight="1">
      <c r="A2" s="92" t="s">
        <v>1014</v>
      </c>
      <c r="B2" s="77" t="s">
        <v>1704</v>
      </c>
      <c r="C2" s="77" t="s">
        <v>742</v>
      </c>
      <c r="D2" s="77" t="s">
        <v>1718</v>
      </c>
      <c r="E2" s="138" t="s">
        <v>744</v>
      </c>
      <c r="F2" s="631" t="s">
        <v>1709</v>
      </c>
      <c r="G2" s="77" t="s">
        <v>1288</v>
      </c>
    </row>
    <row r="3" spans="1:9" s="75" customFormat="1" ht="19.5" customHeight="1">
      <c r="A3" s="92" t="s">
        <v>1746</v>
      </c>
      <c r="B3" s="77"/>
      <c r="C3" s="77"/>
      <c r="D3" s="77"/>
      <c r="E3" s="77"/>
      <c r="F3" s="631">
        <f>F4+F20+F34+F53+F55+F57+F59+F61+F63+F65+F67+F69+F71+F73+F75+F77+F79+F81+F83+F85</f>
        <v>992617.2399560342</v>
      </c>
      <c r="G3" s="77"/>
      <c r="I3" s="640" t="s">
        <v>2588</v>
      </c>
    </row>
    <row r="4" spans="1:7" s="81" customFormat="1" ht="18" customHeight="1">
      <c r="A4" s="78" t="s">
        <v>1706</v>
      </c>
      <c r="B4" s="79" t="s">
        <v>1705</v>
      </c>
      <c r="C4" s="80"/>
      <c r="D4" s="78"/>
      <c r="E4" s="78"/>
      <c r="F4" s="632">
        <f>F5+F18</f>
        <v>319551.6218</v>
      </c>
      <c r="G4" s="79"/>
    </row>
    <row r="5" spans="1:8" s="81" customFormat="1" ht="18" customHeight="1">
      <c r="A5" s="78" t="s">
        <v>1707</v>
      </c>
      <c r="B5" s="79" t="s">
        <v>1726</v>
      </c>
      <c r="C5" s="80"/>
      <c r="D5" s="78"/>
      <c r="E5" s="78"/>
      <c r="F5" s="632">
        <f>SUM(F6:F17)</f>
        <v>255217.4418</v>
      </c>
      <c r="G5" s="79"/>
      <c r="H5" s="102" t="s">
        <v>2130</v>
      </c>
    </row>
    <row r="6" spans="1:7" s="85" customFormat="1" ht="18" customHeight="1">
      <c r="A6" s="82">
        <v>1</v>
      </c>
      <c r="B6" s="83" t="str">
        <f>'水源工程（中、小（1）型）1'!B4</f>
        <v>小石门水库</v>
      </c>
      <c r="C6" s="84" t="str">
        <f>'水源工程（中、小（1）型）1'!D4</f>
        <v>大型</v>
      </c>
      <c r="D6" s="82" t="s">
        <v>1719</v>
      </c>
      <c r="E6" s="82" t="s">
        <v>1187</v>
      </c>
      <c r="F6" s="633">
        <f>'水源工程（中、小（1）型）1'!N4</f>
        <v>180182.25</v>
      </c>
      <c r="G6" s="83"/>
    </row>
    <row r="7" spans="1:7" s="85" customFormat="1" ht="18" customHeight="1">
      <c r="A7" s="82">
        <v>2</v>
      </c>
      <c r="B7" s="83" t="str">
        <f>'水源工程（中、小（1）型）1'!B5</f>
        <v>定远河水库</v>
      </c>
      <c r="C7" s="84" t="str">
        <f>'水源工程（中、小（1）型）1'!D5</f>
        <v>中型</v>
      </c>
      <c r="D7" s="82" t="s">
        <v>1720</v>
      </c>
      <c r="E7" s="82" t="s">
        <v>1187</v>
      </c>
      <c r="F7" s="633">
        <f>'水源工程（中、小（1）型）1'!N5</f>
        <v>21670.98</v>
      </c>
      <c r="G7" s="83"/>
    </row>
    <row r="8" spans="1:7" s="85" customFormat="1" ht="18" customHeight="1">
      <c r="A8" s="82">
        <v>3</v>
      </c>
      <c r="B8" s="83" t="str">
        <f>'水源工程（中、小（1）型）1'!B6</f>
        <v>高泉闸水库</v>
      </c>
      <c r="C8" s="84" t="str">
        <f>'水源工程（中、小（1）型）1'!D6</f>
        <v>小一型</v>
      </c>
      <c r="D8" s="82" t="s">
        <v>1721</v>
      </c>
      <c r="E8" s="82" t="s">
        <v>1727</v>
      </c>
      <c r="F8" s="633">
        <f>'水源工程（中、小（1）型）1'!N6</f>
        <v>6154.2</v>
      </c>
      <c r="G8" s="83"/>
    </row>
    <row r="9" spans="1:7" s="85" customFormat="1" ht="18" customHeight="1">
      <c r="A9" s="82">
        <v>4</v>
      </c>
      <c r="B9" s="83" t="str">
        <f>'水源工程（中、小（1）型）1'!B7</f>
        <v>大力歪水库</v>
      </c>
      <c r="C9" s="84" t="str">
        <f>'水源工程（中、小（1）型）1'!D7</f>
        <v>小一型</v>
      </c>
      <c r="D9" s="82" t="s">
        <v>1720</v>
      </c>
      <c r="E9" s="82" t="s">
        <v>1187</v>
      </c>
      <c r="F9" s="633">
        <f>'水源工程（中、小（1）型）1'!N7</f>
        <v>6316</v>
      </c>
      <c r="G9" s="83"/>
    </row>
    <row r="10" spans="1:7" s="85" customFormat="1" ht="18" customHeight="1">
      <c r="A10" s="82">
        <v>5</v>
      </c>
      <c r="B10" s="83" t="str">
        <f>'水源工程（中、小（1）型）1'!B8</f>
        <v>象鼻箐水库</v>
      </c>
      <c r="C10" s="84" t="str">
        <f>'水源工程（中、小（1）型）1'!D8</f>
        <v>小一型</v>
      </c>
      <c r="D10" s="82" t="s">
        <v>1719</v>
      </c>
      <c r="E10" s="82" t="s">
        <v>1187</v>
      </c>
      <c r="F10" s="633">
        <f>'水源工程（中、小（1）型）1'!N8</f>
        <v>4160</v>
      </c>
      <c r="G10" s="83"/>
    </row>
    <row r="11" spans="1:7" s="85" customFormat="1" ht="18" customHeight="1">
      <c r="A11" s="82">
        <v>6</v>
      </c>
      <c r="B11" s="83" t="str">
        <f>'水源工程（中、小（1）型）1'!B9</f>
        <v>小土锅箐水库</v>
      </c>
      <c r="C11" s="84" t="str">
        <f>'水源工程（中、小（1）型）1'!D9</f>
        <v>小一型</v>
      </c>
      <c r="D11" s="82" t="s">
        <v>1720</v>
      </c>
      <c r="E11" s="82" t="s">
        <v>1187</v>
      </c>
      <c r="F11" s="633">
        <f>'水源工程（中、小（1）型）1'!N9</f>
        <v>5531.6842</v>
      </c>
      <c r="G11" s="83"/>
    </row>
    <row r="12" spans="1:7" s="85" customFormat="1" ht="18" customHeight="1">
      <c r="A12" s="82">
        <v>7</v>
      </c>
      <c r="B12" s="83" t="str">
        <f>'水源工程（中、小（1）型）1'!B10</f>
        <v>双河水库</v>
      </c>
      <c r="C12" s="84" t="str">
        <f>'水源工程（中、小（1）型）1'!D10</f>
        <v>小一型</v>
      </c>
      <c r="D12" s="82" t="s">
        <v>1721</v>
      </c>
      <c r="E12" s="82" t="s">
        <v>1727</v>
      </c>
      <c r="F12" s="633">
        <f>'水源工程（中、小（1）型）1'!N10</f>
        <v>3143.112</v>
      </c>
      <c r="G12" s="83"/>
    </row>
    <row r="13" spans="1:7" s="85" customFormat="1" ht="18" customHeight="1">
      <c r="A13" s="82">
        <v>8</v>
      </c>
      <c r="B13" s="83" t="str">
        <f>'水源工程（中、小（1）型）1'!B11</f>
        <v>小黑箐水库</v>
      </c>
      <c r="C13" s="84" t="str">
        <f>'水源工程（中、小（1）型）1'!D11</f>
        <v>小一型</v>
      </c>
      <c r="D13" s="82" t="s">
        <v>1722</v>
      </c>
      <c r="E13" s="82" t="s">
        <v>1727</v>
      </c>
      <c r="F13" s="633">
        <f>'水源工程（中、小（1）型）1'!N11</f>
        <v>4793.245800000001</v>
      </c>
      <c r="G13" s="83"/>
    </row>
    <row r="14" spans="1:7" s="85" customFormat="1" ht="18" customHeight="1">
      <c r="A14" s="82">
        <v>9</v>
      </c>
      <c r="B14" s="83" t="str">
        <f>'水源工程（中、小（1）型）1'!B12</f>
        <v>双叉箐水库</v>
      </c>
      <c r="C14" s="84" t="str">
        <f>'水源工程（中、小（1）型）1'!D12</f>
        <v>小一型</v>
      </c>
      <c r="D14" s="82" t="s">
        <v>1722</v>
      </c>
      <c r="E14" s="82" t="s">
        <v>1187</v>
      </c>
      <c r="F14" s="633">
        <f>'水源工程（中、小（1）型）1'!N12</f>
        <v>7174.504</v>
      </c>
      <c r="G14" s="83"/>
    </row>
    <row r="15" spans="1:7" s="85" customFormat="1" ht="18" customHeight="1">
      <c r="A15" s="82">
        <v>10</v>
      </c>
      <c r="B15" s="83" t="str">
        <f>'水源工程（中、小（1）型）1'!B13</f>
        <v>庆丰团结水库</v>
      </c>
      <c r="C15" s="84" t="str">
        <f>'水源工程（中、小（1）型）1'!D13</f>
        <v>小一型</v>
      </c>
      <c r="D15" s="82" t="s">
        <v>1723</v>
      </c>
      <c r="E15" s="82" t="s">
        <v>1727</v>
      </c>
      <c r="F15" s="633">
        <f>'水源工程（中、小（1）型）1'!N13</f>
        <v>5234.7358</v>
      </c>
      <c r="G15" s="83"/>
    </row>
    <row r="16" spans="1:7" s="85" customFormat="1" ht="18" customHeight="1">
      <c r="A16" s="82">
        <v>11</v>
      </c>
      <c r="B16" s="83" t="str">
        <f>'水源工程（中、小（1）型）1'!B14</f>
        <v>秧田箐水库</v>
      </c>
      <c r="C16" s="84" t="str">
        <f>'水源工程（中、小（1）型）1'!D14</f>
        <v>小一型</v>
      </c>
      <c r="D16" s="82" t="s">
        <v>1724</v>
      </c>
      <c r="E16" s="82" t="s">
        <v>1187</v>
      </c>
      <c r="F16" s="633">
        <f>'水源工程（中、小（1）型）1'!N14</f>
        <v>5056.73</v>
      </c>
      <c r="G16" s="83"/>
    </row>
    <row r="17" spans="1:7" s="85" customFormat="1" ht="18" customHeight="1">
      <c r="A17" s="82">
        <f>'水源工程（中、小（1）型）1'!A15</f>
        <v>12</v>
      </c>
      <c r="B17" s="84" t="str">
        <f>'水源工程（中、小（1）型）1'!B15</f>
        <v>龙虎水库</v>
      </c>
      <c r="C17" s="84" t="str">
        <f>'水源工程（中、小（1）型）1'!D15</f>
        <v>中型</v>
      </c>
      <c r="D17" s="82" t="s">
        <v>1723</v>
      </c>
      <c r="E17" s="82" t="str">
        <f>'水源工程（中、小（1）型）1'!F15</f>
        <v>除险加固</v>
      </c>
      <c r="F17" s="633">
        <f>'水源工程（中、小（1）型）1'!N15</f>
        <v>5800</v>
      </c>
      <c r="G17" s="83"/>
    </row>
    <row r="18" spans="1:8" s="81" customFormat="1" ht="18" customHeight="1">
      <c r="A18" s="78" t="s">
        <v>1708</v>
      </c>
      <c r="B18" s="79" t="s">
        <v>1710</v>
      </c>
      <c r="C18" s="80" t="s">
        <v>1711</v>
      </c>
      <c r="D18" s="78"/>
      <c r="E18" s="78"/>
      <c r="F18" s="632">
        <f>F19</f>
        <v>64334.18</v>
      </c>
      <c r="G18" s="79"/>
      <c r="H18" s="102" t="s">
        <v>2131</v>
      </c>
    </row>
    <row r="19" spans="1:7" s="85" customFormat="1" ht="27" customHeight="1">
      <c r="A19" s="82">
        <v>1</v>
      </c>
      <c r="B19" s="83" t="s">
        <v>1712</v>
      </c>
      <c r="C19" s="627" t="s">
        <v>2575</v>
      </c>
      <c r="D19" s="82" t="s">
        <v>1725</v>
      </c>
      <c r="E19" s="82" t="s">
        <v>1727</v>
      </c>
      <c r="F19" s="633">
        <f>'水源工程（小（2）型）2'!AJ53</f>
        <v>64334.18</v>
      </c>
      <c r="G19" s="83"/>
    </row>
    <row r="20" spans="1:8" s="81" customFormat="1" ht="18" customHeight="1">
      <c r="A20" s="78" t="s">
        <v>1713</v>
      </c>
      <c r="B20" s="79" t="s">
        <v>1715</v>
      </c>
      <c r="C20" s="80"/>
      <c r="D20" s="78"/>
      <c r="E20" s="78"/>
      <c r="F20" s="632">
        <f>SUM(F21:F33)</f>
        <v>32488</v>
      </c>
      <c r="G20" s="79"/>
      <c r="H20" s="102" t="s">
        <v>2131</v>
      </c>
    </row>
    <row r="21" spans="1:7" s="85" customFormat="1" ht="29.25" customHeight="1">
      <c r="A21" s="82">
        <v>1</v>
      </c>
      <c r="B21" s="87" t="str">
        <f>'中小河流治理3'!G6</f>
        <v>云南省牟定县牟定河燃灯寺至江坡段治理工程</v>
      </c>
      <c r="C21" s="84" t="s">
        <v>1714</v>
      </c>
      <c r="D21" s="82" t="str">
        <f>'中小河流治理3'!A6</f>
        <v>牟定河</v>
      </c>
      <c r="E21" s="82" t="s">
        <v>1711</v>
      </c>
      <c r="F21" s="633">
        <f>'中小河流治理3'!AD6</f>
        <v>2960</v>
      </c>
      <c r="G21" s="83"/>
    </row>
    <row r="22" spans="1:7" s="85" customFormat="1" ht="29.25" customHeight="1">
      <c r="A22" s="82">
        <v>2</v>
      </c>
      <c r="B22" s="87" t="str">
        <f>'中小河流治理3'!G7</f>
        <v>云南省牟定县牟定河北山寺至土主庙段治理工程</v>
      </c>
      <c r="C22" s="84" t="s">
        <v>1714</v>
      </c>
      <c r="D22" s="82" t="str">
        <f>'中小河流治理3'!A7</f>
        <v>牟定河</v>
      </c>
      <c r="E22" s="82" t="s">
        <v>1711</v>
      </c>
      <c r="F22" s="633">
        <f>'中小河流治理3'!AD7</f>
        <v>2980</v>
      </c>
      <c r="G22" s="83"/>
    </row>
    <row r="23" spans="1:7" s="85" customFormat="1" ht="29.25" customHeight="1">
      <c r="A23" s="82">
        <v>3</v>
      </c>
      <c r="B23" s="87" t="str">
        <f>'中小河流治理3'!G8</f>
        <v>云南省牟定县冷水河麦冲至周家庄段河道治理工程</v>
      </c>
      <c r="C23" s="84" t="s">
        <v>1714</v>
      </c>
      <c r="D23" s="82" t="str">
        <f>'中小河流治理3'!A8</f>
        <v>冷水河</v>
      </c>
      <c r="E23" s="82" t="s">
        <v>1711</v>
      </c>
      <c r="F23" s="633">
        <f>'中小河流治理3'!AD8</f>
        <v>2970</v>
      </c>
      <c r="G23" s="83"/>
    </row>
    <row r="24" spans="1:7" s="85" customFormat="1" ht="29.25" customHeight="1">
      <c r="A24" s="82">
        <v>4</v>
      </c>
      <c r="B24" s="87" t="str">
        <f>'中小河流治理3'!G9</f>
        <v>云南省牟定县猫街河猫街至松毛堆段河道治理工程</v>
      </c>
      <c r="C24" s="84" t="s">
        <v>1714</v>
      </c>
      <c r="D24" s="82" t="str">
        <f>'中小河流治理3'!A9</f>
        <v>猫街河</v>
      </c>
      <c r="E24" s="82" t="s">
        <v>1711</v>
      </c>
      <c r="F24" s="633">
        <f>'中小河流治理3'!AD9</f>
        <v>2951</v>
      </c>
      <c r="G24" s="83"/>
    </row>
    <row r="25" spans="1:7" s="85" customFormat="1" ht="29.25" customHeight="1">
      <c r="A25" s="82">
        <v>5</v>
      </c>
      <c r="B25" s="87" t="str">
        <f>'中小河流治理3'!G10</f>
        <v>云南省牟定县石者河培龙村至河底段河道治理工程</v>
      </c>
      <c r="C25" s="84" t="s">
        <v>1714</v>
      </c>
      <c r="D25" s="82" t="str">
        <f>'中小河流治理3'!A10</f>
        <v>石者河</v>
      </c>
      <c r="E25" s="82" t="s">
        <v>1711</v>
      </c>
      <c r="F25" s="633">
        <f>'中小河流治理3'!AD10</f>
        <v>2625</v>
      </c>
      <c r="G25" s="83"/>
    </row>
    <row r="26" spans="1:7" s="85" customFormat="1" ht="29.25" customHeight="1">
      <c r="A26" s="82">
        <v>6</v>
      </c>
      <c r="B26" s="87" t="str">
        <f>'中小河流治理3'!G11</f>
        <v>云南省牟定县力歪河河头王家至李树桥段河道治理工程</v>
      </c>
      <c r="C26" s="84" t="s">
        <v>1714</v>
      </c>
      <c r="D26" s="82" t="str">
        <f>'中小河流治理3'!A11</f>
        <v>力歪河</v>
      </c>
      <c r="E26" s="82" t="s">
        <v>1711</v>
      </c>
      <c r="F26" s="633">
        <f>'中小河流治理3'!AD11</f>
        <v>2970</v>
      </c>
      <c r="G26" s="83"/>
    </row>
    <row r="27" spans="1:7" s="85" customFormat="1" ht="29.25" customHeight="1">
      <c r="A27" s="82">
        <v>7</v>
      </c>
      <c r="B27" s="87" t="str">
        <f>'中小河流治理3'!G12</f>
        <v>云南省牟定县祭龙河（艾屯、石嘴子至杨旗屯段）河道治理工程</v>
      </c>
      <c r="C27" s="84" t="s">
        <v>1714</v>
      </c>
      <c r="D27" s="82" t="str">
        <f>'中小河流治理3'!A12</f>
        <v>祭龙河</v>
      </c>
      <c r="E27" s="82" t="s">
        <v>1711</v>
      </c>
      <c r="F27" s="633">
        <f>'中小河流治理3'!AD12</f>
        <v>2990</v>
      </c>
      <c r="G27" s="83"/>
    </row>
    <row r="28" spans="1:7" s="85" customFormat="1" ht="29.25" customHeight="1">
      <c r="A28" s="82">
        <v>8</v>
      </c>
      <c r="B28" s="87" t="str">
        <f>'中小河流治理3'!G13</f>
        <v>云南省牟定县喜鹊窝河喜鹊窝至沈屯段河道治理工程</v>
      </c>
      <c r="C28" s="84" t="s">
        <v>1714</v>
      </c>
      <c r="D28" s="82" t="str">
        <f>'中小河流治理3'!A13</f>
        <v>喜鹊窝河</v>
      </c>
      <c r="E28" s="82" t="s">
        <v>1711</v>
      </c>
      <c r="F28" s="633">
        <f>'中小河流治理3'!AD13</f>
        <v>2952</v>
      </c>
      <c r="G28" s="83"/>
    </row>
    <row r="29" spans="1:7" s="85" customFormat="1" ht="29.25" customHeight="1">
      <c r="A29" s="82">
        <v>9</v>
      </c>
      <c r="B29" s="87" t="str">
        <f>'中小河流治理3'!G14</f>
        <v>云南省牟定县博德河习田村至新甸村段河道治理工程</v>
      </c>
      <c r="C29" s="84" t="s">
        <v>1714</v>
      </c>
      <c r="D29" s="82" t="str">
        <f>'中小河流治理3'!A14</f>
        <v>博德河</v>
      </c>
      <c r="E29" s="82" t="s">
        <v>1711</v>
      </c>
      <c r="F29" s="633">
        <f>'中小河流治理3'!AD14</f>
        <v>2880</v>
      </c>
      <c r="G29" s="83"/>
    </row>
    <row r="30" spans="1:7" s="85" customFormat="1" ht="29.25" customHeight="1">
      <c r="A30" s="82">
        <v>10</v>
      </c>
      <c r="B30" s="87" t="str">
        <f>'中小河流治理3'!G15</f>
        <v>云南省牟定县永丰水库至龙川河段河道治理工程</v>
      </c>
      <c r="C30" s="84" t="s">
        <v>1714</v>
      </c>
      <c r="D30" s="82" t="str">
        <f>'中小河流治理3'!A15</f>
        <v>土桥河</v>
      </c>
      <c r="E30" s="82" t="s">
        <v>1711</v>
      </c>
      <c r="F30" s="633">
        <f>'中小河流治理3'!AD15</f>
        <v>1860</v>
      </c>
      <c r="G30" s="83"/>
    </row>
    <row r="31" spans="1:7" s="85" customFormat="1" ht="29.25" customHeight="1">
      <c r="A31" s="82">
        <v>11</v>
      </c>
      <c r="B31" s="87" t="str">
        <f>'中小河流治理3'!G16</f>
        <v>云南省牟定县中屯水库至杨凹子村段河道治理工程</v>
      </c>
      <c r="C31" s="84" t="s">
        <v>1714</v>
      </c>
      <c r="D31" s="82" t="str">
        <f>'中小河流治理3'!A16</f>
        <v>文龙河</v>
      </c>
      <c r="E31" s="82" t="s">
        <v>1711</v>
      </c>
      <c r="F31" s="633">
        <f>'中小河流治理3'!AD16</f>
        <v>1600</v>
      </c>
      <c r="G31" s="83"/>
    </row>
    <row r="32" spans="1:7" s="85" customFormat="1" ht="29.25" customHeight="1">
      <c r="A32" s="82">
        <v>12</v>
      </c>
      <c r="B32" s="87" t="str">
        <f>'中小河流治理3'!G17</f>
        <v>云南省牟定县古岩河大古岩村至啊橄榄村段河道治理工程</v>
      </c>
      <c r="C32" s="84" t="s">
        <v>1714</v>
      </c>
      <c r="D32" s="82" t="str">
        <f>'中小河流治理3'!A17</f>
        <v>古岩河</v>
      </c>
      <c r="E32" s="82" t="s">
        <v>1711</v>
      </c>
      <c r="F32" s="633">
        <f>'中小河流治理3'!AD17</f>
        <v>1400</v>
      </c>
      <c r="G32" s="83"/>
    </row>
    <row r="33" spans="1:7" s="85" customFormat="1" ht="29.25" customHeight="1">
      <c r="A33" s="82">
        <v>13</v>
      </c>
      <c r="B33" s="87" t="str">
        <f>'中小河流治理3'!G18</f>
        <v>云南省牟定县文龙河朵苴村至朵基村河道治理工程</v>
      </c>
      <c r="C33" s="84" t="s">
        <v>1714</v>
      </c>
      <c r="D33" s="82" t="str">
        <f>'中小河流治理3'!A18</f>
        <v>文龙河</v>
      </c>
      <c r="E33" s="82" t="s">
        <v>1711</v>
      </c>
      <c r="F33" s="633">
        <f>'中小河流治理3'!AD18</f>
        <v>1350</v>
      </c>
      <c r="G33" s="83"/>
    </row>
    <row r="34" spans="1:8" s="81" customFormat="1" ht="18" customHeight="1">
      <c r="A34" s="78" t="s">
        <v>1716</v>
      </c>
      <c r="B34" s="79" t="s">
        <v>1717</v>
      </c>
      <c r="D34" s="78"/>
      <c r="E34" s="78"/>
      <c r="F34" s="632">
        <f>SUM(F35:F52)</f>
        <v>33228.95</v>
      </c>
      <c r="G34" s="79"/>
      <c r="H34" s="102" t="s">
        <v>2130</v>
      </c>
    </row>
    <row r="35" spans="1:7" s="85" customFormat="1" ht="21" customHeight="1">
      <c r="A35" s="82">
        <v>1</v>
      </c>
      <c r="B35" s="87" t="str">
        <f>'连通工程4'!B7</f>
        <v>龙虎水库至庆丰水库输水工程</v>
      </c>
      <c r="C35" s="84">
        <f>'连通工程4'!S7</f>
        <v>250</v>
      </c>
      <c r="D35" s="89" t="str">
        <f>'连通工程4'!E7</f>
        <v>龙虎水库底涵</v>
      </c>
      <c r="E35" s="82" t="str">
        <f>'连通工程4'!J7</f>
        <v>新建</v>
      </c>
      <c r="F35" s="633">
        <f>'连通工程4'!AD7</f>
        <v>1626.6</v>
      </c>
      <c r="G35" s="115" t="s">
        <v>1765</v>
      </c>
    </row>
    <row r="36" spans="1:7" s="85" customFormat="1" ht="22.5">
      <c r="A36" s="82">
        <v>2</v>
      </c>
      <c r="B36" s="87" t="str">
        <f>'连通工程4'!B8</f>
        <v>大跃进水库至庆丰水库管道扩建工程</v>
      </c>
      <c r="C36" s="84">
        <f>'连通工程4'!S8</f>
        <v>320</v>
      </c>
      <c r="D36" s="89" t="str">
        <f>'连通工程4'!E8</f>
        <v>大跃进水库底涵</v>
      </c>
      <c r="E36" s="82" t="str">
        <f>'连通工程4'!J8</f>
        <v>新建</v>
      </c>
      <c r="F36" s="633">
        <f>'连通工程4'!AD8</f>
        <v>2304.35</v>
      </c>
      <c r="G36" s="115" t="s">
        <v>1765</v>
      </c>
    </row>
    <row r="37" spans="1:7" s="85" customFormat="1" ht="22.5">
      <c r="A37" s="82">
        <v>3</v>
      </c>
      <c r="B37" s="87" t="str">
        <f>'连通工程4'!B9</f>
        <v>民乐博德河至共和闸水库提水工程</v>
      </c>
      <c r="C37" s="84">
        <f>'连通工程4'!S9</f>
        <v>50</v>
      </c>
      <c r="D37" s="89" t="str">
        <f>'连通工程4'!E9</f>
        <v>博德河民乐村</v>
      </c>
      <c r="E37" s="82" t="str">
        <f>'连通工程4'!J9</f>
        <v>新建</v>
      </c>
      <c r="F37" s="633">
        <f>'连通工程4'!AD9</f>
        <v>600</v>
      </c>
      <c r="G37" s="115" t="s">
        <v>1866</v>
      </c>
    </row>
    <row r="38" spans="1:7" s="85" customFormat="1" ht="24">
      <c r="A38" s="82">
        <v>4</v>
      </c>
      <c r="B38" s="87" t="str">
        <f>'连通工程4'!B10</f>
        <v>庆丰水库至共和闸水库管道输水工程</v>
      </c>
      <c r="C38" s="84">
        <f>'连通工程4'!S10</f>
        <v>60</v>
      </c>
      <c r="D38" s="89" t="str">
        <f>'连通工程4'!E10</f>
        <v>龙虎至庆丰水库输水管道取水</v>
      </c>
      <c r="E38" s="82" t="str">
        <f>'连通工程4'!J10</f>
        <v>新建</v>
      </c>
      <c r="F38" s="633">
        <f>'连通工程4'!AD10</f>
        <v>1450</v>
      </c>
      <c r="G38" s="115" t="s">
        <v>1866</v>
      </c>
    </row>
    <row r="39" spans="1:7" s="85" customFormat="1" ht="22.5">
      <c r="A39" s="82">
        <v>5</v>
      </c>
      <c r="B39" s="87" t="str">
        <f>'连通工程4'!B11</f>
        <v>中峰水库至新民水库提水工程</v>
      </c>
      <c r="C39" s="84">
        <f>'连通工程4'!S11</f>
        <v>75</v>
      </c>
      <c r="D39" s="89" t="str">
        <f>'连通工程4'!E11</f>
        <v>中峰水库底涵</v>
      </c>
      <c r="E39" s="82" t="str">
        <f>'连通工程4'!J11</f>
        <v>新建</v>
      </c>
      <c r="F39" s="633">
        <f>'连通工程4'!AD11</f>
        <v>2300</v>
      </c>
      <c r="G39" s="115" t="s">
        <v>1866</v>
      </c>
    </row>
    <row r="40" spans="1:7" s="85" customFormat="1" ht="22.5">
      <c r="A40" s="82">
        <v>6</v>
      </c>
      <c r="B40" s="87" t="str">
        <f>'连通工程4'!B12</f>
        <v>龙丰水库至豆树水库输水工程</v>
      </c>
      <c r="C40" s="84">
        <f>'连通工程4'!S12</f>
        <v>89</v>
      </c>
      <c r="D40" s="89" t="str">
        <f>'连通工程4'!E12</f>
        <v>龙丰水库底涵</v>
      </c>
      <c r="E40" s="82" t="str">
        <f>'连通工程4'!J12</f>
        <v>新建</v>
      </c>
      <c r="F40" s="633">
        <f>'连通工程4'!AD12</f>
        <v>748</v>
      </c>
      <c r="G40" s="115" t="s">
        <v>1866</v>
      </c>
    </row>
    <row r="41" spans="1:7" s="85" customFormat="1" ht="22.5">
      <c r="A41" s="82">
        <v>7</v>
      </c>
      <c r="B41" s="87" t="str">
        <f>'连通工程4'!B13</f>
        <v>龙丰水库至老纳水库输水工程</v>
      </c>
      <c r="C41" s="84">
        <f>'连通工程4'!S13</f>
        <v>89</v>
      </c>
      <c r="D41" s="89" t="str">
        <f>'连通工程4'!E13</f>
        <v>龙丰水库底涵</v>
      </c>
      <c r="E41" s="82" t="str">
        <f>'连通工程4'!J13</f>
        <v>新建</v>
      </c>
      <c r="F41" s="633">
        <f>'连通工程4'!AD13</f>
        <v>828</v>
      </c>
      <c r="G41" s="115" t="s">
        <v>1866</v>
      </c>
    </row>
    <row r="42" spans="1:7" s="85" customFormat="1" ht="24">
      <c r="A42" s="82">
        <v>8</v>
      </c>
      <c r="B42" s="87" t="str">
        <f>'连通工程4'!B14</f>
        <v>猫街河至新民水库提水工程</v>
      </c>
      <c r="C42" s="84">
        <f>'连通工程4'!S14</f>
        <v>80</v>
      </c>
      <c r="D42" s="89" t="str">
        <f>'连通工程4'!E14</f>
        <v>安乐乡与戌街乡交界处</v>
      </c>
      <c r="E42" s="82" t="str">
        <f>'连通工程4'!J14</f>
        <v>新建</v>
      </c>
      <c r="F42" s="633">
        <f>'连通工程4'!AD14</f>
        <v>1400</v>
      </c>
      <c r="G42" s="115" t="s">
        <v>1866</v>
      </c>
    </row>
    <row r="43" spans="1:7" s="85" customFormat="1" ht="22.5">
      <c r="A43" s="82">
        <v>9</v>
      </c>
      <c r="B43" s="87" t="str">
        <f>'连通工程4'!B15</f>
        <v>桃苴万润水库-挂箐坝沟渠联通</v>
      </c>
      <c r="C43" s="84">
        <f>'连通工程4'!S15</f>
        <v>75</v>
      </c>
      <c r="D43" s="89" t="str">
        <f>'连通工程4'!E15</f>
        <v>万润水库底涵</v>
      </c>
      <c r="E43" s="82" t="str">
        <f>'连通工程4'!J15</f>
        <v>新建</v>
      </c>
      <c r="F43" s="633">
        <f>'连通工程4'!AD15</f>
        <v>750</v>
      </c>
      <c r="G43" s="115" t="s">
        <v>1866</v>
      </c>
    </row>
    <row r="44" spans="1:7" s="85" customFormat="1" ht="24">
      <c r="A44" s="82">
        <v>10</v>
      </c>
      <c r="B44" s="87" t="str">
        <f>'连通工程4'!B16</f>
        <v>小蒙恩大新田坝-和丰闸-先锋水库沟渠联通</v>
      </c>
      <c r="C44" s="84">
        <f>'连通工程4'!S16</f>
        <v>60</v>
      </c>
      <c r="D44" s="89" t="str">
        <f>'连通工程4'!E16</f>
        <v>大新田坝水库底涵</v>
      </c>
      <c r="E44" s="82" t="str">
        <f>'连通工程4'!J16</f>
        <v>新建</v>
      </c>
      <c r="F44" s="633">
        <f>'连通工程4'!AD16</f>
        <v>600</v>
      </c>
      <c r="G44" s="115" t="s">
        <v>1866</v>
      </c>
    </row>
    <row r="45" spans="1:7" s="137" customFormat="1" ht="24">
      <c r="A45" s="127">
        <v>11</v>
      </c>
      <c r="B45" s="134" t="str">
        <f>'连通工程4'!B17</f>
        <v>马厂赵大坝-卫星水库-半冲坝-新桥工农水库沟渠联通</v>
      </c>
      <c r="C45" s="135">
        <f>'连通工程4'!S17</f>
        <v>400</v>
      </c>
      <c r="D45" s="106" t="str">
        <f>'连通工程4'!E17</f>
        <v>赵大坝水库底涵</v>
      </c>
      <c r="E45" s="127" t="str">
        <f>'连通工程4'!J17</f>
        <v>新建</v>
      </c>
      <c r="F45" s="162">
        <f>'连通工程4'!AD17</f>
        <v>2000</v>
      </c>
      <c r="G45" s="115" t="s">
        <v>1866</v>
      </c>
    </row>
    <row r="46" spans="1:7" s="137" customFormat="1" ht="22.5">
      <c r="A46" s="127">
        <f>'连通工程4'!A18</f>
        <v>12</v>
      </c>
      <c r="B46" s="134" t="str">
        <f>'连通工程4'!B18</f>
        <v>龙虎水库至小九龙水库输水工程</v>
      </c>
      <c r="C46" s="135">
        <f>'连通工程4'!Y18</f>
        <v>60</v>
      </c>
      <c r="D46" s="106" t="str">
        <f>'连通工程4'!E18</f>
        <v>龙虎水库底涵</v>
      </c>
      <c r="E46" s="127" t="str">
        <f>'连通工程4'!J18</f>
        <v>新建</v>
      </c>
      <c r="F46" s="162">
        <f>'连通工程4'!AD18</f>
        <v>5500</v>
      </c>
      <c r="G46" s="115" t="s">
        <v>1866</v>
      </c>
    </row>
    <row r="47" spans="1:7" s="137" customFormat="1" ht="24">
      <c r="A47" s="127">
        <f>'连通工程4'!A19</f>
        <v>13</v>
      </c>
      <c r="B47" s="134" t="str">
        <f>'连通工程4'!B19</f>
        <v>中屯水库至大跃进水库管道输水工程</v>
      </c>
      <c r="C47" s="135">
        <f>'连通工程4'!Y19</f>
        <v>100</v>
      </c>
      <c r="D47" s="106" t="str">
        <f>'连通工程4'!E19</f>
        <v>中屯水库输水隧洞</v>
      </c>
      <c r="E47" s="127" t="str">
        <f>'连通工程4'!J19</f>
        <v>新建</v>
      </c>
      <c r="F47" s="162">
        <f>'连通工程4'!AD19</f>
        <v>2500</v>
      </c>
      <c r="G47" s="115" t="s">
        <v>1866</v>
      </c>
    </row>
    <row r="48" spans="1:7" s="137" customFormat="1" ht="24">
      <c r="A48" s="127">
        <f>'连通工程4'!A20</f>
        <v>14</v>
      </c>
      <c r="B48" s="134" t="str">
        <f>'连通工程4'!B20</f>
        <v>牟定县第二自来水厂至新桥供水站连通抗旱应急工程</v>
      </c>
      <c r="C48" s="135">
        <f>'连通工程4'!Y20</f>
        <v>40.88</v>
      </c>
      <c r="D48" s="106" t="str">
        <f>'连通工程4'!E20</f>
        <v>县城第二水厂主管道</v>
      </c>
      <c r="E48" s="127" t="str">
        <f>'连通工程4'!J20</f>
        <v>新建</v>
      </c>
      <c r="F48" s="162">
        <f>'连通工程4'!AD20</f>
        <v>1300</v>
      </c>
      <c r="G48" s="115" t="s">
        <v>1866</v>
      </c>
    </row>
    <row r="49" spans="1:7" s="137" customFormat="1" ht="36">
      <c r="A49" s="127">
        <f>'连通工程4'!A21</f>
        <v>15</v>
      </c>
      <c r="B49" s="134" t="str">
        <f>'连通工程4'!B21</f>
        <v>龙虎水库至兴隆水库输水工程</v>
      </c>
      <c r="C49" s="135">
        <f>'连通工程4'!Y21</f>
        <v>175</v>
      </c>
      <c r="D49" s="106" t="str">
        <f>'连通工程4'!E21</f>
        <v>龙虎水库-庆丰水库-东清水库输水管道上取水</v>
      </c>
      <c r="E49" s="127" t="str">
        <f>'连通工程4'!J21</f>
        <v>新建</v>
      </c>
      <c r="F49" s="162">
        <f>'连通工程4'!AD21</f>
        <v>2500</v>
      </c>
      <c r="G49" s="115" t="s">
        <v>1866</v>
      </c>
    </row>
    <row r="50" spans="1:7" s="137" customFormat="1" ht="24">
      <c r="A50" s="127">
        <f>'连通工程4'!A22</f>
        <v>16</v>
      </c>
      <c r="B50" s="134" t="str">
        <f>'连通工程4'!B22</f>
        <v>东清水库至双龙闸水库输水工程</v>
      </c>
      <c r="C50" s="135">
        <f>'连通工程4'!Y22</f>
        <v>65.4</v>
      </c>
      <c r="D50" s="106" t="str">
        <f>'连通工程4'!E22</f>
        <v>庆丰至东清水库主管道上取水</v>
      </c>
      <c r="E50" s="127" t="str">
        <f>'连通工程4'!J22</f>
        <v>新建</v>
      </c>
      <c r="F50" s="162">
        <f>'连通工程4'!AD22</f>
        <v>1800</v>
      </c>
      <c r="G50" s="115" t="s">
        <v>1866</v>
      </c>
    </row>
    <row r="51" spans="1:7" s="137" customFormat="1" ht="36">
      <c r="A51" s="127">
        <f>'连通工程4'!A23</f>
        <v>17</v>
      </c>
      <c r="B51" s="134" t="str">
        <f>'连通工程4'!B23</f>
        <v>龙虎水库至顶峰水库输水工程</v>
      </c>
      <c r="C51" s="135">
        <f>'连通工程4'!Y23</f>
        <v>56.730000000000004</v>
      </c>
      <c r="D51" s="106" t="str">
        <f>'连通工程4'!E23</f>
        <v>龙虎水库-庆丰水库-东清水库输水管道上取水</v>
      </c>
      <c r="E51" s="127" t="str">
        <f>'连通工程4'!J23</f>
        <v>新建</v>
      </c>
      <c r="F51" s="162">
        <f>'连通工程4'!AD23</f>
        <v>1600</v>
      </c>
      <c r="G51" s="115" t="s">
        <v>1866</v>
      </c>
    </row>
    <row r="52" spans="1:7" s="137" customFormat="1" ht="36" customHeight="1">
      <c r="A52" s="668">
        <f>'连通工程4'!A24</f>
        <v>18</v>
      </c>
      <c r="B52" s="669" t="str">
        <f>'连通工程4'!B24</f>
        <v>中屯水库至红豆树水库库库连通工程</v>
      </c>
      <c r="C52" s="670">
        <f>'连通工程4'!Y24</f>
        <v>64.69999999999999</v>
      </c>
      <c r="D52" s="666" t="str">
        <f>'连通工程4'!E24</f>
        <v>中屯水库输水隧洞</v>
      </c>
      <c r="E52" s="668" t="str">
        <f>'连通工程4'!J24</f>
        <v>新建</v>
      </c>
      <c r="F52" s="671">
        <f>'连通工程4'!AD24</f>
        <v>3422</v>
      </c>
      <c r="G52" s="672" t="s">
        <v>2651</v>
      </c>
    </row>
    <row r="53" spans="1:8" s="81" customFormat="1" ht="18" customHeight="1">
      <c r="A53" s="78" t="s">
        <v>1728</v>
      </c>
      <c r="B53" s="79" t="s">
        <v>1729</v>
      </c>
      <c r="C53" s="88"/>
      <c r="D53" s="78"/>
      <c r="E53" s="78"/>
      <c r="F53" s="632">
        <f>F54</f>
        <v>210100</v>
      </c>
      <c r="G53" s="79"/>
      <c r="H53" s="102" t="s">
        <v>2131</v>
      </c>
    </row>
    <row r="54" spans="1:7" s="85" customFormat="1" ht="22.5">
      <c r="A54" s="82">
        <v>1</v>
      </c>
      <c r="B54" s="83" t="str">
        <f>'滇中引水配套工程5'!B7</f>
        <v>滇中引水牟定受益区配套工程</v>
      </c>
      <c r="C54" s="84">
        <f>'滇中引水配套工程5'!S7</f>
        <v>3600</v>
      </c>
      <c r="D54" s="82" t="s">
        <v>1730</v>
      </c>
      <c r="E54" s="82" t="s">
        <v>1187</v>
      </c>
      <c r="F54" s="633">
        <f>'滇中引水配套工程5'!AJ7</f>
        <v>210100</v>
      </c>
      <c r="G54" s="658" t="s">
        <v>2633</v>
      </c>
    </row>
    <row r="55" spans="1:8" s="81" customFormat="1" ht="18" customHeight="1">
      <c r="A55" s="78" t="s">
        <v>1731</v>
      </c>
      <c r="B55" s="79" t="s">
        <v>1732</v>
      </c>
      <c r="C55" s="80"/>
      <c r="D55" s="78"/>
      <c r="E55" s="78"/>
      <c r="F55" s="632">
        <f>F56</f>
        <v>37958.37166177776</v>
      </c>
      <c r="G55" s="79"/>
      <c r="H55" s="102" t="s">
        <v>2131</v>
      </c>
    </row>
    <row r="56" spans="1:7" s="85" customFormat="1" ht="24">
      <c r="A56" s="82">
        <v>1</v>
      </c>
      <c r="B56" s="83" t="s">
        <v>1733</v>
      </c>
      <c r="C56" s="139" t="s">
        <v>1864</v>
      </c>
      <c r="D56" s="82" t="s">
        <v>1725</v>
      </c>
      <c r="E56" s="82" t="s">
        <v>1734</v>
      </c>
      <c r="F56" s="633">
        <f>'水库清淤6'!X103</f>
        <v>37958.37166177776</v>
      </c>
      <c r="G56" s="83"/>
    </row>
    <row r="57" spans="1:8" s="81" customFormat="1" ht="18" customHeight="1">
      <c r="A57" s="78" t="s">
        <v>1735</v>
      </c>
      <c r="B57" s="79" t="s">
        <v>1736</v>
      </c>
      <c r="C57" s="80"/>
      <c r="D57" s="78"/>
      <c r="E57" s="78"/>
      <c r="F57" s="632">
        <f>F58</f>
        <v>8760.01</v>
      </c>
      <c r="G57" s="79"/>
      <c r="H57" s="102" t="s">
        <v>2131</v>
      </c>
    </row>
    <row r="58" spans="1:7" s="85" customFormat="1" ht="74.25" customHeight="1">
      <c r="A58" s="82">
        <v>1</v>
      </c>
      <c r="B58" s="83" t="s">
        <v>1737</v>
      </c>
      <c r="C58" s="659" t="s">
        <v>2634</v>
      </c>
      <c r="D58" s="89" t="s">
        <v>1738</v>
      </c>
      <c r="E58" s="82" t="s">
        <v>1711</v>
      </c>
      <c r="F58" s="633">
        <f>'中型灌区续建配套7'!S5</f>
        <v>8760.01</v>
      </c>
      <c r="G58" s="83"/>
    </row>
    <row r="59" spans="1:8" s="81" customFormat="1" ht="18" customHeight="1">
      <c r="A59" s="78" t="s">
        <v>1741</v>
      </c>
      <c r="B59" s="79" t="s">
        <v>1742</v>
      </c>
      <c r="C59" s="80"/>
      <c r="D59" s="78"/>
      <c r="E59" s="78"/>
      <c r="F59" s="632">
        <f>F60</f>
        <v>19077.8129</v>
      </c>
      <c r="G59" s="79"/>
      <c r="H59" s="102" t="s">
        <v>2131</v>
      </c>
    </row>
    <row r="60" spans="1:7" s="85" customFormat="1" ht="24">
      <c r="A60" s="82">
        <v>1</v>
      </c>
      <c r="B60" s="83" t="s">
        <v>1739</v>
      </c>
      <c r="C60" s="139" t="s">
        <v>575</v>
      </c>
      <c r="D60" s="82"/>
      <c r="E60" s="82" t="s">
        <v>1740</v>
      </c>
      <c r="F60" s="633">
        <f>'小型灌区8'!F4</f>
        <v>19077.8129</v>
      </c>
      <c r="G60" s="83"/>
    </row>
    <row r="61" spans="1:8" s="93" customFormat="1" ht="18" customHeight="1">
      <c r="A61" s="98" t="s">
        <v>1743</v>
      </c>
      <c r="B61" s="101" t="s">
        <v>1744</v>
      </c>
      <c r="C61" s="105"/>
      <c r="D61" s="98"/>
      <c r="E61" s="98"/>
      <c r="F61" s="634">
        <f>F62</f>
        <v>16740.767499999998</v>
      </c>
      <c r="G61" s="101"/>
      <c r="H61" s="102" t="s">
        <v>2130</v>
      </c>
    </row>
    <row r="62" spans="1:7" s="85" customFormat="1" ht="48">
      <c r="A62" s="82">
        <v>1</v>
      </c>
      <c r="B62" s="83" t="s">
        <v>1745</v>
      </c>
      <c r="C62" s="139" t="s">
        <v>576</v>
      </c>
      <c r="D62" s="100" t="s">
        <v>1748</v>
      </c>
      <c r="E62" s="100" t="s">
        <v>1749</v>
      </c>
      <c r="F62" s="633">
        <f>'农村饮水提质增效（汇总）9'!L7</f>
        <v>16740.767499999998</v>
      </c>
      <c r="G62" s="83"/>
    </row>
    <row r="63" spans="1:7" s="93" customFormat="1" ht="18" customHeight="1">
      <c r="A63" s="98" t="s">
        <v>1752</v>
      </c>
      <c r="B63" s="101" t="s">
        <v>1753</v>
      </c>
      <c r="C63" s="105"/>
      <c r="D63" s="98"/>
      <c r="E63" s="98"/>
      <c r="F63" s="634">
        <f>F64</f>
        <v>49703.729999999996</v>
      </c>
      <c r="G63" s="101"/>
    </row>
    <row r="64" spans="1:7" s="85" customFormat="1" ht="84">
      <c r="A64" s="82">
        <v>1</v>
      </c>
      <c r="B64" s="103" t="s">
        <v>1750</v>
      </c>
      <c r="C64" s="139" t="s">
        <v>577</v>
      </c>
      <c r="D64" s="104" t="s">
        <v>1751</v>
      </c>
      <c r="E64" s="82" t="s">
        <v>1711</v>
      </c>
      <c r="F64" s="633">
        <f>'重点县建设10'!E4</f>
        <v>49703.729999999996</v>
      </c>
      <c r="G64" s="115" t="s">
        <v>1863</v>
      </c>
    </row>
    <row r="65" spans="1:8" s="93" customFormat="1" ht="18" customHeight="1">
      <c r="A65" s="98" t="s">
        <v>1756</v>
      </c>
      <c r="B65" s="101" t="s">
        <v>1757</v>
      </c>
      <c r="C65" s="105"/>
      <c r="D65" s="98"/>
      <c r="E65" s="98"/>
      <c r="F65" s="634">
        <f>F66</f>
        <v>67766.12</v>
      </c>
      <c r="G65" s="101"/>
      <c r="H65" s="102" t="s">
        <v>2131</v>
      </c>
    </row>
    <row r="66" spans="1:7" s="85" customFormat="1" ht="93.75" customHeight="1">
      <c r="A66" s="82">
        <v>1</v>
      </c>
      <c r="B66" s="103" t="s">
        <v>1755</v>
      </c>
      <c r="C66" s="139" t="s">
        <v>2521</v>
      </c>
      <c r="D66" s="100" t="s">
        <v>1748</v>
      </c>
      <c r="E66" s="82" t="s">
        <v>1711</v>
      </c>
      <c r="F66" s="633">
        <f>'五小水利11'!E4</f>
        <v>67766.12</v>
      </c>
      <c r="G66" s="187"/>
    </row>
    <row r="67" spans="1:7" s="93" customFormat="1" ht="18" customHeight="1">
      <c r="A67" s="98" t="s">
        <v>1760</v>
      </c>
      <c r="B67" s="101" t="s">
        <v>1761</v>
      </c>
      <c r="C67" s="105"/>
      <c r="D67" s="98"/>
      <c r="E67" s="98"/>
      <c r="F67" s="634">
        <f>F68</f>
        <v>19029.95</v>
      </c>
      <c r="G67" s="101"/>
    </row>
    <row r="68" spans="1:7" s="85" customFormat="1" ht="48">
      <c r="A68" s="82">
        <v>1</v>
      </c>
      <c r="B68" s="103" t="s">
        <v>1758</v>
      </c>
      <c r="C68" s="659" t="s">
        <v>2635</v>
      </c>
      <c r="D68" s="100" t="s">
        <v>1748</v>
      </c>
      <c r="E68" s="100" t="s">
        <v>1759</v>
      </c>
      <c r="F68" s="633">
        <f>'特色产业高效节水灌溉12'!R5</f>
        <v>19029.95</v>
      </c>
      <c r="G68" s="83"/>
    </row>
    <row r="69" spans="1:7" s="93" customFormat="1" ht="18" customHeight="1">
      <c r="A69" s="98" t="s">
        <v>1763</v>
      </c>
      <c r="B69" s="101" t="s">
        <v>1764</v>
      </c>
      <c r="C69" s="114"/>
      <c r="D69" s="98"/>
      <c r="E69" s="98"/>
      <c r="F69" s="634">
        <f>F70</f>
        <v>28620.0750942566</v>
      </c>
      <c r="G69" s="101"/>
    </row>
    <row r="70" spans="1:7" s="85" customFormat="1" ht="36">
      <c r="A70" s="82">
        <v>1</v>
      </c>
      <c r="B70" s="103" t="s">
        <v>1762</v>
      </c>
      <c r="C70" s="659" t="s">
        <v>2636</v>
      </c>
      <c r="D70" s="100" t="s">
        <v>1748</v>
      </c>
      <c r="E70" s="100" t="s">
        <v>1759</v>
      </c>
      <c r="F70" s="633">
        <f>'水土保持13'!J6</f>
        <v>28620.0750942566</v>
      </c>
      <c r="G70" s="83"/>
    </row>
    <row r="71" spans="1:7" s="93" customFormat="1" ht="18" customHeight="1">
      <c r="A71" s="98" t="s">
        <v>1768</v>
      </c>
      <c r="B71" s="101" t="s">
        <v>1769</v>
      </c>
      <c r="C71" s="114"/>
      <c r="D71" s="98"/>
      <c r="E71" s="98"/>
      <c r="F71" s="634">
        <f>F72</f>
        <v>8500</v>
      </c>
      <c r="G71" s="101"/>
    </row>
    <row r="72" spans="1:7" s="85" customFormat="1" ht="48">
      <c r="A72" s="82">
        <v>1</v>
      </c>
      <c r="B72" s="103" t="s">
        <v>1767</v>
      </c>
      <c r="C72" s="86" t="s">
        <v>1865</v>
      </c>
      <c r="D72" s="104" t="s">
        <v>1770</v>
      </c>
      <c r="E72" s="100" t="s">
        <v>1759</v>
      </c>
      <c r="F72" s="633">
        <f>'水源地保护14'!S6</f>
        <v>8500</v>
      </c>
      <c r="G72" s="83"/>
    </row>
    <row r="73" spans="1:7" s="93" customFormat="1" ht="18" customHeight="1">
      <c r="A73" s="98" t="s">
        <v>1772</v>
      </c>
      <c r="B73" s="101" t="s">
        <v>1773</v>
      </c>
      <c r="C73" s="114"/>
      <c r="D73" s="98"/>
      <c r="E73" s="98"/>
      <c r="F73" s="634">
        <f>F74</f>
        <v>81692</v>
      </c>
      <c r="G73" s="101"/>
    </row>
    <row r="74" spans="1:7" s="85" customFormat="1" ht="48">
      <c r="A74" s="496">
        <v>1</v>
      </c>
      <c r="B74" s="562" t="s">
        <v>1771</v>
      </c>
      <c r="C74" s="563" t="s">
        <v>2583</v>
      </c>
      <c r="D74" s="496" t="s">
        <v>638</v>
      </c>
      <c r="E74" s="496" t="s">
        <v>116</v>
      </c>
      <c r="F74" s="635">
        <f>'农村河道治理15'!V7</f>
        <v>81692</v>
      </c>
      <c r="G74" s="516"/>
    </row>
    <row r="75" spans="1:7" s="93" customFormat="1" ht="18" customHeight="1">
      <c r="A75" s="98" t="s">
        <v>1778</v>
      </c>
      <c r="B75" s="101" t="s">
        <v>1779</v>
      </c>
      <c r="C75" s="105"/>
      <c r="D75" s="98"/>
      <c r="E75" s="98"/>
      <c r="F75" s="634">
        <f>F76</f>
        <v>1340</v>
      </c>
      <c r="G75" s="101"/>
    </row>
    <row r="76" spans="1:7" s="85" customFormat="1" ht="60">
      <c r="A76" s="82">
        <v>1</v>
      </c>
      <c r="B76" s="103" t="s">
        <v>1774</v>
      </c>
      <c r="C76" s="86" t="s">
        <v>1775</v>
      </c>
      <c r="D76" s="104" t="s">
        <v>1777</v>
      </c>
      <c r="E76" s="104" t="s">
        <v>1861</v>
      </c>
      <c r="F76" s="633">
        <f>'河闸除险加固16'!P7</f>
        <v>1340</v>
      </c>
      <c r="G76" s="83"/>
    </row>
    <row r="77" spans="1:7" s="93" customFormat="1" ht="18" customHeight="1">
      <c r="A77" s="98" t="s">
        <v>1782</v>
      </c>
      <c r="B77" s="101" t="s">
        <v>1783</v>
      </c>
      <c r="C77" s="105"/>
      <c r="D77" s="98"/>
      <c r="E77" s="98"/>
      <c r="F77" s="634">
        <f>F78</f>
        <v>22705.301000000003</v>
      </c>
      <c r="G77" s="101"/>
    </row>
    <row r="78" spans="1:7" s="85" customFormat="1" ht="84">
      <c r="A78" s="82">
        <v>1</v>
      </c>
      <c r="B78" s="103" t="s">
        <v>1780</v>
      </c>
      <c r="C78" s="86" t="s">
        <v>1781</v>
      </c>
      <c r="D78" s="100" t="s">
        <v>1748</v>
      </c>
      <c r="E78" s="100" t="s">
        <v>1759</v>
      </c>
      <c r="F78" s="633">
        <f>'山洪沟灾害防治治理17'!S4</f>
        <v>22705.301000000003</v>
      </c>
      <c r="G78" s="83"/>
    </row>
    <row r="79" spans="1:7" s="93" customFormat="1" ht="18" customHeight="1">
      <c r="A79" s="98" t="s">
        <v>1786</v>
      </c>
      <c r="B79" s="101" t="s">
        <v>1787</v>
      </c>
      <c r="C79" s="105"/>
      <c r="D79" s="98"/>
      <c r="E79" s="98"/>
      <c r="F79" s="634">
        <f>F80</f>
        <v>7549.530000000001</v>
      </c>
      <c r="G79" s="101"/>
    </row>
    <row r="80" spans="1:7" s="85" customFormat="1" ht="96">
      <c r="A80" s="82">
        <v>1</v>
      </c>
      <c r="B80" s="103" t="s">
        <v>1784</v>
      </c>
      <c r="C80" s="667" t="s">
        <v>2650</v>
      </c>
      <c r="D80" s="100" t="s">
        <v>1748</v>
      </c>
      <c r="E80" s="100" t="s">
        <v>1759</v>
      </c>
      <c r="F80" s="633">
        <f>'抗旱应急工程18'!AB6</f>
        <v>7549.530000000001</v>
      </c>
      <c r="G80" s="83"/>
    </row>
    <row r="81" spans="1:7" s="93" customFormat="1" ht="18" customHeight="1">
      <c r="A81" s="98" t="s">
        <v>1791</v>
      </c>
      <c r="B81" s="101" t="s">
        <v>1792</v>
      </c>
      <c r="C81" s="114"/>
      <c r="D81" s="98"/>
      <c r="E81" s="98"/>
      <c r="F81" s="634">
        <f>F82</f>
        <v>589</v>
      </c>
      <c r="G81" s="101"/>
    </row>
    <row r="82" spans="1:7" s="85" customFormat="1" ht="36">
      <c r="A82" s="82">
        <v>1</v>
      </c>
      <c r="B82" s="103" t="s">
        <v>1788</v>
      </c>
      <c r="C82" s="104" t="s">
        <v>1789</v>
      </c>
      <c r="D82" s="104" t="s">
        <v>1790</v>
      </c>
      <c r="E82" s="100" t="s">
        <v>1759</v>
      </c>
      <c r="F82" s="633">
        <f>'水务基层服务体系能力建设19'!J4</f>
        <v>589</v>
      </c>
      <c r="G82" s="83"/>
    </row>
    <row r="83" spans="1:7" s="93" customFormat="1" ht="18" customHeight="1">
      <c r="A83" s="98" t="s">
        <v>1793</v>
      </c>
      <c r="B83" s="101" t="s">
        <v>1794</v>
      </c>
      <c r="C83" s="114"/>
      <c r="D83" s="98"/>
      <c r="E83" s="98"/>
      <c r="F83" s="634">
        <f>F84</f>
        <v>564</v>
      </c>
      <c r="G83" s="101"/>
    </row>
    <row r="84" spans="1:7" s="85" customFormat="1" ht="36">
      <c r="A84" s="82">
        <v>1</v>
      </c>
      <c r="B84" s="493" t="s">
        <v>573</v>
      </c>
      <c r="C84" s="139" t="s">
        <v>574</v>
      </c>
      <c r="D84" s="100" t="s">
        <v>1748</v>
      </c>
      <c r="E84" s="100" t="s">
        <v>1759</v>
      </c>
      <c r="F84" s="633">
        <f>'水利信息化建设20'!M4</f>
        <v>564</v>
      </c>
      <c r="G84" s="83"/>
    </row>
    <row r="85" spans="1:7" ht="13.5">
      <c r="A85" s="511" t="s">
        <v>637</v>
      </c>
      <c r="B85" s="673" t="s">
        <v>2652</v>
      </c>
      <c r="C85" s="114"/>
      <c r="D85" s="98"/>
      <c r="E85" s="98"/>
      <c r="F85" s="634">
        <f>F86</f>
        <v>26652</v>
      </c>
      <c r="G85" s="101"/>
    </row>
    <row r="86" spans="1:7" s="514" customFormat="1" ht="60">
      <c r="A86" s="512">
        <v>1</v>
      </c>
      <c r="B86" s="139" t="s">
        <v>2648</v>
      </c>
      <c r="C86" s="667" t="s">
        <v>2649</v>
      </c>
      <c r="D86" s="512" t="s">
        <v>638</v>
      </c>
      <c r="E86" s="512" t="s">
        <v>639</v>
      </c>
      <c r="F86" s="636">
        <f>'污水处理项目21'!C4</f>
        <v>26652</v>
      </c>
      <c r="G86" s="513"/>
    </row>
    <row r="87" ht="13.5">
      <c r="D87" s="121"/>
    </row>
    <row r="88" ht="13.5">
      <c r="D88" s="122"/>
    </row>
    <row r="89" spans="2:4" ht="13.5">
      <c r="B89" s="50"/>
      <c r="D89" s="123"/>
    </row>
    <row r="90" ht="13.5">
      <c r="D90" s="123"/>
    </row>
    <row r="91" ht="13.5">
      <c r="D91" s="123"/>
    </row>
    <row r="92" ht="13.5">
      <c r="D92" s="122"/>
    </row>
  </sheetData>
  <sheetProtection/>
  <mergeCells count="1">
    <mergeCell ref="A1:G1"/>
  </mergeCells>
  <printOptions/>
  <pageMargins left="0.4724409448818898" right="0.15748031496062992" top="0.5118110236220472" bottom="0.5905511811023623" header="0.31496062992125984" footer="0.31496062992125984"/>
  <pageSetup horizontalDpi="600" verticalDpi="600" orientation="portrait" paperSize="9" r:id="rId1"/>
  <headerFooter>
    <oddFooter>&amp;C第 &amp;P 页，共 &amp;N 页</oddFooter>
  </headerFooter>
</worksheet>
</file>

<file path=xl/worksheets/sheet10.xml><?xml version="1.0" encoding="utf-8"?>
<worksheet xmlns="http://schemas.openxmlformats.org/spreadsheetml/2006/main" xmlns:r="http://schemas.openxmlformats.org/officeDocument/2006/relationships">
  <sheetPr>
    <tabColor rgb="FFFF0000"/>
  </sheetPr>
  <dimension ref="A1:AA200"/>
  <sheetViews>
    <sheetView zoomScalePageLayoutView="0" workbookViewId="0" topLeftCell="A1">
      <selection activeCell="X9" sqref="X9"/>
    </sheetView>
  </sheetViews>
  <sheetFormatPr defaultColWidth="9.00390625" defaultRowHeight="13.5"/>
  <cols>
    <col min="1" max="1" width="6.25390625" style="0" customWidth="1"/>
    <col min="2" max="2" width="7.00390625" style="0" customWidth="1"/>
    <col min="3" max="3" width="6.00390625" style="0" customWidth="1"/>
    <col min="4" max="4" width="9.25390625" style="190" customWidth="1"/>
    <col min="5" max="5" width="7.125" style="0" customWidth="1"/>
    <col min="6" max="6" width="5.50390625" style="0" customWidth="1"/>
    <col min="10" max="10" width="8.00390625" style="0" customWidth="1"/>
    <col min="11" max="19" width="6.00390625" style="0" customWidth="1"/>
    <col min="20" max="23" width="8.00390625" style="0" customWidth="1"/>
    <col min="24" max="24" width="8.875" style="0" customWidth="1"/>
    <col min="25" max="27" width="7.75390625" style="0" customWidth="1"/>
    <col min="28" max="28" width="9.50390625" style="0" bestFit="1" customWidth="1"/>
  </cols>
  <sheetData>
    <row r="1" spans="1:27" ht="13.5">
      <c r="A1" s="779" t="s">
        <v>2097</v>
      </c>
      <c r="B1" s="779"/>
      <c r="C1" s="779"/>
      <c r="D1" s="530"/>
      <c r="E1" s="531"/>
      <c r="F1" s="531"/>
      <c r="G1" s="531"/>
      <c r="H1" s="531"/>
      <c r="I1" s="531"/>
      <c r="J1" s="531"/>
      <c r="K1" s="531"/>
      <c r="L1" s="531"/>
      <c r="M1" s="531"/>
      <c r="N1" s="531"/>
      <c r="O1" s="531"/>
      <c r="P1" s="531"/>
      <c r="Q1" s="531"/>
      <c r="R1" s="531"/>
      <c r="S1" s="531"/>
      <c r="T1" s="531"/>
      <c r="U1" s="531"/>
      <c r="V1" s="531"/>
      <c r="W1" s="531"/>
      <c r="X1" s="531"/>
      <c r="Y1" s="531"/>
      <c r="Z1" s="531"/>
      <c r="AA1" s="531"/>
    </row>
    <row r="2" spans="1:27" ht="21.75">
      <c r="A2" s="784" t="s">
        <v>105</v>
      </c>
      <c r="B2" s="784"/>
      <c r="C2" s="784"/>
      <c r="D2" s="784"/>
      <c r="E2" s="784"/>
      <c r="F2" s="784"/>
      <c r="G2" s="784"/>
      <c r="H2" s="784"/>
      <c r="I2" s="784"/>
      <c r="J2" s="784"/>
      <c r="K2" s="784"/>
      <c r="L2" s="784"/>
      <c r="M2" s="784"/>
      <c r="N2" s="784"/>
      <c r="O2" s="784"/>
      <c r="P2" s="784"/>
      <c r="Q2" s="784"/>
      <c r="R2" s="784"/>
      <c r="S2" s="784"/>
      <c r="T2" s="784"/>
      <c r="U2" s="784"/>
      <c r="V2" s="784"/>
      <c r="W2" s="784"/>
      <c r="X2" s="785"/>
      <c r="Y2" s="785"/>
      <c r="Z2" s="785"/>
      <c r="AA2" s="785"/>
    </row>
    <row r="3" spans="1:27" ht="13.5">
      <c r="A3" s="770" t="s">
        <v>2057</v>
      </c>
      <c r="B3" s="770"/>
      <c r="C3" s="770" t="s">
        <v>646</v>
      </c>
      <c r="D3" s="770" t="s">
        <v>937</v>
      </c>
      <c r="E3" s="770" t="s">
        <v>2058</v>
      </c>
      <c r="F3" s="770" t="s">
        <v>2059</v>
      </c>
      <c r="G3" s="768" t="s">
        <v>2060</v>
      </c>
      <c r="H3" s="371"/>
      <c r="I3" s="768" t="s">
        <v>2061</v>
      </c>
      <c r="J3" s="371"/>
      <c r="K3" s="789" t="s">
        <v>655</v>
      </c>
      <c r="L3" s="790"/>
      <c r="M3" s="790"/>
      <c r="N3" s="790"/>
      <c r="O3" s="790"/>
      <c r="P3" s="790"/>
      <c r="Q3" s="790"/>
      <c r="R3" s="790"/>
      <c r="S3" s="790"/>
      <c r="T3" s="790"/>
      <c r="U3" s="790"/>
      <c r="V3" s="790"/>
      <c r="W3" s="790"/>
      <c r="X3" s="791" t="s">
        <v>2062</v>
      </c>
      <c r="Y3" s="787"/>
      <c r="Z3" s="787"/>
      <c r="AA3" s="788"/>
    </row>
    <row r="4" spans="1:27" ht="13.5">
      <c r="A4" s="770"/>
      <c r="B4" s="770"/>
      <c r="C4" s="770"/>
      <c r="D4" s="770"/>
      <c r="E4" s="770"/>
      <c r="F4" s="770"/>
      <c r="G4" s="769"/>
      <c r="H4" s="770" t="s">
        <v>2063</v>
      </c>
      <c r="I4" s="769"/>
      <c r="J4" s="770" t="s">
        <v>2064</v>
      </c>
      <c r="K4" s="776" t="s">
        <v>2065</v>
      </c>
      <c r="L4" s="771" t="s">
        <v>2066</v>
      </c>
      <c r="M4" s="772"/>
      <c r="N4" s="772"/>
      <c r="O4" s="772"/>
      <c r="P4" s="772"/>
      <c r="Q4" s="772"/>
      <c r="R4" s="772"/>
      <c r="S4" s="773"/>
      <c r="T4" s="770" t="s">
        <v>2067</v>
      </c>
      <c r="U4" s="770"/>
      <c r="V4" s="770"/>
      <c r="W4" s="789"/>
      <c r="X4" s="792"/>
      <c r="Y4" s="780" t="s">
        <v>2068</v>
      </c>
      <c r="Z4" s="780" t="s">
        <v>2069</v>
      </c>
      <c r="AA4" s="780" t="s">
        <v>2070</v>
      </c>
    </row>
    <row r="5" spans="1:27" ht="13.5">
      <c r="A5" s="770"/>
      <c r="B5" s="770"/>
      <c r="C5" s="770"/>
      <c r="D5" s="770"/>
      <c r="E5" s="770"/>
      <c r="F5" s="770"/>
      <c r="G5" s="769"/>
      <c r="H5" s="770"/>
      <c r="I5" s="769"/>
      <c r="J5" s="770"/>
      <c r="K5" s="777"/>
      <c r="L5" s="781" t="s">
        <v>2071</v>
      </c>
      <c r="M5" s="770" t="s">
        <v>2072</v>
      </c>
      <c r="N5" s="770" t="s">
        <v>2073</v>
      </c>
      <c r="O5" s="770" t="s">
        <v>2074</v>
      </c>
      <c r="P5" s="770" t="s">
        <v>2075</v>
      </c>
      <c r="Q5" s="770" t="s">
        <v>2076</v>
      </c>
      <c r="R5" s="770" t="s">
        <v>2077</v>
      </c>
      <c r="S5" s="770" t="s">
        <v>2078</v>
      </c>
      <c r="T5" s="768" t="s">
        <v>2079</v>
      </c>
      <c r="U5" s="371"/>
      <c r="V5" s="768" t="s">
        <v>2080</v>
      </c>
      <c r="W5" s="372"/>
      <c r="X5" s="792"/>
      <c r="Y5" s="780"/>
      <c r="Z5" s="780"/>
      <c r="AA5" s="780"/>
    </row>
    <row r="6" spans="1:27" ht="24">
      <c r="A6" s="770"/>
      <c r="B6" s="770"/>
      <c r="C6" s="770"/>
      <c r="D6" s="770"/>
      <c r="E6" s="770"/>
      <c r="F6" s="770"/>
      <c r="G6" s="769"/>
      <c r="H6" s="770"/>
      <c r="I6" s="769"/>
      <c r="J6" s="770"/>
      <c r="K6" s="778"/>
      <c r="L6" s="782"/>
      <c r="M6" s="770"/>
      <c r="N6" s="770"/>
      <c r="O6" s="770"/>
      <c r="P6" s="770"/>
      <c r="Q6" s="770"/>
      <c r="R6" s="770"/>
      <c r="S6" s="770"/>
      <c r="T6" s="786"/>
      <c r="U6" s="189" t="s">
        <v>2081</v>
      </c>
      <c r="V6" s="786"/>
      <c r="W6" s="69" t="s">
        <v>2081</v>
      </c>
      <c r="X6" s="793"/>
      <c r="Y6" s="780"/>
      <c r="Z6" s="780"/>
      <c r="AA6" s="780"/>
    </row>
    <row r="7" spans="1:27" ht="24">
      <c r="A7" s="770"/>
      <c r="B7" s="770"/>
      <c r="C7" s="770"/>
      <c r="D7" s="770"/>
      <c r="E7" s="770"/>
      <c r="F7" s="189" t="s">
        <v>2082</v>
      </c>
      <c r="G7" s="189" t="s">
        <v>2083</v>
      </c>
      <c r="H7" s="188" t="s">
        <v>2083</v>
      </c>
      <c r="I7" s="189" t="s">
        <v>2084</v>
      </c>
      <c r="J7" s="189" t="s">
        <v>2084</v>
      </c>
      <c r="K7" s="189" t="s">
        <v>2082</v>
      </c>
      <c r="L7" s="783"/>
      <c r="M7" s="189" t="s">
        <v>2082</v>
      </c>
      <c r="N7" s="189" t="s">
        <v>2085</v>
      </c>
      <c r="O7" s="189" t="s">
        <v>2085</v>
      </c>
      <c r="P7" s="189" t="s">
        <v>2085</v>
      </c>
      <c r="Q7" s="189" t="s">
        <v>2085</v>
      </c>
      <c r="R7" s="189" t="s">
        <v>2085</v>
      </c>
      <c r="S7" s="189" t="s">
        <v>2085</v>
      </c>
      <c r="T7" s="373" t="s">
        <v>703</v>
      </c>
      <c r="U7" s="373" t="s">
        <v>703</v>
      </c>
      <c r="V7" s="373" t="s">
        <v>703</v>
      </c>
      <c r="W7" s="373" t="s">
        <v>703</v>
      </c>
      <c r="X7" s="373" t="s">
        <v>2086</v>
      </c>
      <c r="Y7" s="373" t="s">
        <v>2086</v>
      </c>
      <c r="Z7" s="373" t="s">
        <v>2086</v>
      </c>
      <c r="AA7" s="373" t="s">
        <v>2086</v>
      </c>
    </row>
    <row r="8" spans="1:27" ht="13.5">
      <c r="A8" s="770"/>
      <c r="B8" s="770"/>
      <c r="C8" s="374">
        <v>1</v>
      </c>
      <c r="D8" s="375">
        <v>2</v>
      </c>
      <c r="E8" s="374">
        <v>3</v>
      </c>
      <c r="F8" s="374">
        <v>4</v>
      </c>
      <c r="G8" s="374">
        <v>5</v>
      </c>
      <c r="H8" s="374">
        <v>6</v>
      </c>
      <c r="I8" s="374">
        <v>7</v>
      </c>
      <c r="J8" s="374">
        <v>8</v>
      </c>
      <c r="K8" s="374">
        <v>9</v>
      </c>
      <c r="L8" s="374">
        <v>10</v>
      </c>
      <c r="M8" s="374">
        <v>11</v>
      </c>
      <c r="N8" s="374">
        <v>12</v>
      </c>
      <c r="O8" s="374">
        <v>13</v>
      </c>
      <c r="P8" s="374">
        <v>14</v>
      </c>
      <c r="Q8" s="374">
        <v>15</v>
      </c>
      <c r="R8" s="374">
        <v>16</v>
      </c>
      <c r="S8" s="374">
        <v>17</v>
      </c>
      <c r="T8" s="374">
        <v>18</v>
      </c>
      <c r="U8" s="374">
        <v>19</v>
      </c>
      <c r="V8" s="374">
        <v>20</v>
      </c>
      <c r="W8" s="374">
        <v>21</v>
      </c>
      <c r="X8" s="374">
        <v>22</v>
      </c>
      <c r="Y8" s="374">
        <v>23</v>
      </c>
      <c r="Z8" s="374">
        <v>24</v>
      </c>
      <c r="AA8" s="374">
        <v>25</v>
      </c>
    </row>
    <row r="9" spans="1:27" ht="13.5">
      <c r="A9" s="774" t="s">
        <v>106</v>
      </c>
      <c r="B9" s="774"/>
      <c r="C9" s="774"/>
      <c r="D9" s="376">
        <f>D10+D15+D23</f>
        <v>186</v>
      </c>
      <c r="E9" s="377">
        <v>7</v>
      </c>
      <c r="F9" s="377">
        <f>F10+F15+F23</f>
        <v>76</v>
      </c>
      <c r="G9" s="377">
        <f>G10+G15+G23</f>
        <v>14826.81904761905</v>
      </c>
      <c r="H9" s="377">
        <f>H10+H15+H23</f>
        <v>7770.275238095238</v>
      </c>
      <c r="I9" s="377">
        <f>I10+I15+I23</f>
        <v>180700</v>
      </c>
      <c r="J9" s="377">
        <f>J10+J15+J23</f>
        <v>92316</v>
      </c>
      <c r="K9" s="377"/>
      <c r="L9" s="377"/>
      <c r="M9" s="377"/>
      <c r="N9" s="377"/>
      <c r="O9" s="377"/>
      <c r="P9" s="377"/>
      <c r="Q9" s="377"/>
      <c r="R9" s="377"/>
      <c r="S9" s="377"/>
      <c r="T9" s="378">
        <f aca="true" t="shared" si="0" ref="T9:AA9">T10+T15+T23</f>
        <v>610.866</v>
      </c>
      <c r="U9" s="378">
        <f t="shared" si="0"/>
        <v>316.758</v>
      </c>
      <c r="V9" s="377">
        <f t="shared" si="0"/>
        <v>1028.6495</v>
      </c>
      <c r="W9" s="377">
        <f t="shared" si="0"/>
        <v>406.2919</v>
      </c>
      <c r="X9" s="378">
        <f t="shared" si="0"/>
        <v>14904.397500000003</v>
      </c>
      <c r="Y9" s="378">
        <f t="shared" si="0"/>
        <v>158.6275</v>
      </c>
      <c r="Z9" s="378">
        <f t="shared" si="0"/>
        <v>3813.1000000000004</v>
      </c>
      <c r="AA9" s="378">
        <f t="shared" si="0"/>
        <v>10932.670000000002</v>
      </c>
    </row>
    <row r="10" spans="1:27" ht="13.5">
      <c r="A10" s="775" t="s">
        <v>107</v>
      </c>
      <c r="B10" s="765" t="s">
        <v>2087</v>
      </c>
      <c r="C10" s="377" t="s">
        <v>108</v>
      </c>
      <c r="D10" s="376">
        <v>2</v>
      </c>
      <c r="E10" s="377">
        <v>2</v>
      </c>
      <c r="F10" s="377">
        <v>2</v>
      </c>
      <c r="G10" s="377">
        <f>SUM(G11:G14)</f>
        <v>6325</v>
      </c>
      <c r="H10" s="377">
        <f aca="true" t="shared" si="1" ref="H10:AA10">SUM(H11:H14)</f>
        <v>4825</v>
      </c>
      <c r="I10" s="377">
        <f t="shared" si="1"/>
        <v>76400</v>
      </c>
      <c r="J10" s="377">
        <f t="shared" si="1"/>
        <v>65067</v>
      </c>
      <c r="K10" s="377">
        <f t="shared" si="1"/>
        <v>0</v>
      </c>
      <c r="L10" s="377">
        <f t="shared" si="1"/>
        <v>5</v>
      </c>
      <c r="M10" s="377">
        <f t="shared" si="1"/>
        <v>0</v>
      </c>
      <c r="N10" s="377">
        <f t="shared" si="1"/>
        <v>0</v>
      </c>
      <c r="O10" s="377">
        <f t="shared" si="1"/>
        <v>0</v>
      </c>
      <c r="P10" s="377">
        <f t="shared" si="1"/>
        <v>0</v>
      </c>
      <c r="Q10" s="377">
        <f t="shared" si="1"/>
        <v>0</v>
      </c>
      <c r="R10" s="377">
        <f t="shared" si="1"/>
        <v>0</v>
      </c>
      <c r="S10" s="377">
        <f t="shared" si="1"/>
        <v>0</v>
      </c>
      <c r="T10" s="377">
        <f t="shared" si="1"/>
        <v>103.5</v>
      </c>
      <c r="U10" s="377">
        <f t="shared" si="1"/>
        <v>32</v>
      </c>
      <c r="V10" s="377">
        <f t="shared" si="1"/>
        <v>213</v>
      </c>
      <c r="W10" s="377">
        <f t="shared" si="1"/>
        <v>12</v>
      </c>
      <c r="X10" s="377">
        <f t="shared" si="1"/>
        <v>6260</v>
      </c>
      <c r="Y10" s="377">
        <f t="shared" si="1"/>
        <v>0</v>
      </c>
      <c r="Z10" s="377">
        <f t="shared" si="1"/>
        <v>2535</v>
      </c>
      <c r="AA10" s="377">
        <f t="shared" si="1"/>
        <v>3725</v>
      </c>
    </row>
    <row r="11" spans="1:27" ht="21">
      <c r="A11" s="775"/>
      <c r="B11" s="767"/>
      <c r="C11" s="192">
        <v>1</v>
      </c>
      <c r="D11" s="193" t="s">
        <v>109</v>
      </c>
      <c r="E11" s="192" t="s">
        <v>110</v>
      </c>
      <c r="F11" s="192" t="s">
        <v>111</v>
      </c>
      <c r="G11" s="192">
        <v>2500</v>
      </c>
      <c r="H11" s="192">
        <v>1000</v>
      </c>
      <c r="I11" s="192">
        <v>25400</v>
      </c>
      <c r="J11" s="192">
        <v>14067</v>
      </c>
      <c r="K11" s="192" t="s">
        <v>111</v>
      </c>
      <c r="L11" s="192">
        <v>3</v>
      </c>
      <c r="M11" s="192" t="s">
        <v>111</v>
      </c>
      <c r="N11" s="192" t="s">
        <v>2088</v>
      </c>
      <c r="O11" s="192" t="s">
        <v>2088</v>
      </c>
      <c r="P11" s="192" t="s">
        <v>2088</v>
      </c>
      <c r="Q11" s="192" t="s">
        <v>2089</v>
      </c>
      <c r="R11" s="192" t="s">
        <v>2088</v>
      </c>
      <c r="S11" s="192" t="s">
        <v>112</v>
      </c>
      <c r="T11" s="380">
        <v>65</v>
      </c>
      <c r="U11" s="381">
        <v>32</v>
      </c>
      <c r="V11" s="380">
        <v>35</v>
      </c>
      <c r="W11" s="382">
        <v>12</v>
      </c>
      <c r="X11" s="381">
        <v>650</v>
      </c>
      <c r="Y11" s="192"/>
      <c r="Z11" s="381">
        <v>50</v>
      </c>
      <c r="AA11" s="381">
        <v>600</v>
      </c>
    </row>
    <row r="12" spans="1:27" ht="31.5">
      <c r="A12" s="775"/>
      <c r="B12" s="766"/>
      <c r="C12" s="192">
        <v>2</v>
      </c>
      <c r="D12" s="193" t="s">
        <v>2563</v>
      </c>
      <c r="E12" s="192" t="s">
        <v>121</v>
      </c>
      <c r="F12" s="192" t="s">
        <v>116</v>
      </c>
      <c r="G12" s="192">
        <v>3825</v>
      </c>
      <c r="H12" s="192">
        <f>G12</f>
        <v>3825</v>
      </c>
      <c r="I12" s="192">
        <v>51000</v>
      </c>
      <c r="J12" s="192">
        <f>I12</f>
        <v>51000</v>
      </c>
      <c r="K12" s="192" t="s">
        <v>116</v>
      </c>
      <c r="L12" s="192">
        <v>2</v>
      </c>
      <c r="M12" s="192" t="s">
        <v>116</v>
      </c>
      <c r="N12" s="192" t="s">
        <v>112</v>
      </c>
      <c r="O12" s="192" t="s">
        <v>112</v>
      </c>
      <c r="P12" s="192" t="s">
        <v>112</v>
      </c>
      <c r="Q12" s="192" t="s">
        <v>112</v>
      </c>
      <c r="R12" s="192" t="s">
        <v>117</v>
      </c>
      <c r="S12" s="192" t="s">
        <v>2091</v>
      </c>
      <c r="T12" s="192">
        <v>38.5</v>
      </c>
      <c r="U12" s="192"/>
      <c r="V12" s="192">
        <v>178</v>
      </c>
      <c r="W12" s="532"/>
      <c r="X12" s="382">
        <v>5610</v>
      </c>
      <c r="Y12" s="534"/>
      <c r="Z12" s="192">
        <v>2485</v>
      </c>
      <c r="AA12" s="192">
        <v>3125</v>
      </c>
    </row>
    <row r="13" spans="1:27" ht="13.5">
      <c r="A13" s="775"/>
      <c r="B13" s="612" t="s">
        <v>2090</v>
      </c>
      <c r="C13" s="192"/>
      <c r="D13" s="193"/>
      <c r="E13" s="192"/>
      <c r="F13" s="192"/>
      <c r="G13" s="192"/>
      <c r="H13" s="192"/>
      <c r="I13" s="192"/>
      <c r="J13" s="192"/>
      <c r="K13" s="192"/>
      <c r="L13" s="192"/>
      <c r="M13" s="192"/>
      <c r="N13" s="192"/>
      <c r="O13" s="192"/>
      <c r="P13" s="192"/>
      <c r="Q13" s="192"/>
      <c r="R13" s="192"/>
      <c r="S13" s="192"/>
      <c r="T13" s="192"/>
      <c r="U13" s="192"/>
      <c r="V13" s="192"/>
      <c r="W13" s="532"/>
      <c r="X13" s="382"/>
      <c r="Y13" s="534"/>
      <c r="Z13" s="192"/>
      <c r="AA13" s="192"/>
    </row>
    <row r="14" spans="1:27" ht="13.5">
      <c r="A14" s="775"/>
      <c r="B14" s="613"/>
      <c r="C14" s="192"/>
      <c r="D14" s="193"/>
      <c r="E14" s="192"/>
      <c r="F14" s="192"/>
      <c r="G14" s="532"/>
      <c r="H14" s="532"/>
      <c r="I14" s="192"/>
      <c r="J14" s="192"/>
      <c r="K14" s="192"/>
      <c r="L14" s="192"/>
      <c r="M14" s="192"/>
      <c r="N14" s="192"/>
      <c r="O14" s="192"/>
      <c r="P14" s="192"/>
      <c r="Q14" s="192"/>
      <c r="R14" s="192"/>
      <c r="S14" s="192"/>
      <c r="T14" s="192"/>
      <c r="U14" s="192"/>
      <c r="V14" s="192"/>
      <c r="W14" s="192"/>
      <c r="X14" s="192"/>
      <c r="Y14" s="192"/>
      <c r="Z14" s="192"/>
      <c r="AA14" s="192"/>
    </row>
    <row r="15" spans="1:27" ht="13.5">
      <c r="A15" s="765" t="s">
        <v>113</v>
      </c>
      <c r="B15" s="765" t="s">
        <v>2087</v>
      </c>
      <c r="C15" s="383" t="s">
        <v>108</v>
      </c>
      <c r="D15" s="376">
        <v>6</v>
      </c>
      <c r="E15" s="377">
        <v>6</v>
      </c>
      <c r="F15" s="377">
        <v>6</v>
      </c>
      <c r="G15" s="377">
        <f>SUM(G16:G22)</f>
        <v>2650</v>
      </c>
      <c r="H15" s="377">
        <f aca="true" t="shared" si="2" ref="H15:AA15">SUM(H16:H22)</f>
        <v>2303</v>
      </c>
      <c r="I15" s="377">
        <f t="shared" si="2"/>
        <v>33663</v>
      </c>
      <c r="J15" s="377">
        <f t="shared" si="2"/>
        <v>18684</v>
      </c>
      <c r="K15" s="377">
        <f t="shared" si="2"/>
        <v>0</v>
      </c>
      <c r="L15" s="377">
        <f t="shared" si="2"/>
        <v>15</v>
      </c>
      <c r="M15" s="377">
        <f t="shared" si="2"/>
        <v>0</v>
      </c>
      <c r="N15" s="377">
        <f t="shared" si="2"/>
        <v>0</v>
      </c>
      <c r="O15" s="377">
        <f t="shared" si="2"/>
        <v>0</v>
      </c>
      <c r="P15" s="377">
        <f t="shared" si="2"/>
        <v>0</v>
      </c>
      <c r="Q15" s="377">
        <f t="shared" si="2"/>
        <v>0</v>
      </c>
      <c r="R15" s="377">
        <f t="shared" si="2"/>
        <v>0</v>
      </c>
      <c r="S15" s="377">
        <f t="shared" si="2"/>
        <v>0</v>
      </c>
      <c r="T15" s="377">
        <f t="shared" si="2"/>
        <v>94.238</v>
      </c>
      <c r="U15" s="377">
        <f t="shared" si="2"/>
        <v>31.168</v>
      </c>
      <c r="V15" s="377">
        <f t="shared" si="2"/>
        <v>246.5</v>
      </c>
      <c r="W15" s="377">
        <f t="shared" si="2"/>
        <v>144.17</v>
      </c>
      <c r="X15" s="377">
        <f t="shared" si="2"/>
        <v>3552.84</v>
      </c>
      <c r="Y15" s="377">
        <f t="shared" si="2"/>
        <v>110</v>
      </c>
      <c r="Z15" s="377">
        <f t="shared" si="2"/>
        <v>1101.3</v>
      </c>
      <c r="AA15" s="377">
        <f t="shared" si="2"/>
        <v>2341.54</v>
      </c>
    </row>
    <row r="16" spans="1:27" ht="21">
      <c r="A16" s="767"/>
      <c r="B16" s="767"/>
      <c r="C16" s="192">
        <v>1</v>
      </c>
      <c r="D16" s="193" t="s">
        <v>114</v>
      </c>
      <c r="E16" s="192" t="s">
        <v>115</v>
      </c>
      <c r="F16" s="192" t="s">
        <v>116</v>
      </c>
      <c r="G16" s="192">
        <v>800</v>
      </c>
      <c r="H16" s="192">
        <v>778</v>
      </c>
      <c r="I16" s="192">
        <v>14142</v>
      </c>
      <c r="J16" s="192">
        <v>11147</v>
      </c>
      <c r="K16" s="192" t="s">
        <v>116</v>
      </c>
      <c r="L16" s="192">
        <v>2</v>
      </c>
      <c r="M16" s="192" t="s">
        <v>116</v>
      </c>
      <c r="N16" s="192" t="s">
        <v>112</v>
      </c>
      <c r="O16" s="192" t="s">
        <v>112</v>
      </c>
      <c r="P16" s="192" t="s">
        <v>112</v>
      </c>
      <c r="Q16" s="192" t="s">
        <v>112</v>
      </c>
      <c r="R16" s="192" t="s">
        <v>117</v>
      </c>
      <c r="S16" s="192" t="s">
        <v>2091</v>
      </c>
      <c r="T16" s="192">
        <v>19.87</v>
      </c>
      <c r="U16" s="192">
        <v>15.4</v>
      </c>
      <c r="V16" s="192">
        <v>15.2</v>
      </c>
      <c r="W16" s="533"/>
      <c r="X16" s="382">
        <v>1414.2</v>
      </c>
      <c r="Y16" s="534"/>
      <c r="Z16" s="192">
        <v>565.68</v>
      </c>
      <c r="AA16" s="192">
        <v>848.52</v>
      </c>
    </row>
    <row r="17" spans="1:27" ht="31.5">
      <c r="A17" s="767"/>
      <c r="B17" s="767"/>
      <c r="C17" s="192">
        <v>2</v>
      </c>
      <c r="D17" s="193" t="s">
        <v>118</v>
      </c>
      <c r="E17" s="192" t="s">
        <v>115</v>
      </c>
      <c r="F17" s="192" t="s">
        <v>116</v>
      </c>
      <c r="G17" s="192">
        <v>450</v>
      </c>
      <c r="H17" s="192">
        <v>395</v>
      </c>
      <c r="I17" s="192">
        <v>7177</v>
      </c>
      <c r="J17" s="192">
        <v>7177</v>
      </c>
      <c r="K17" s="192" t="s">
        <v>116</v>
      </c>
      <c r="L17" s="192">
        <v>2</v>
      </c>
      <c r="M17" s="192" t="s">
        <v>116</v>
      </c>
      <c r="N17" s="192" t="s">
        <v>112</v>
      </c>
      <c r="O17" s="192" t="s">
        <v>112</v>
      </c>
      <c r="P17" s="192" t="s">
        <v>112</v>
      </c>
      <c r="Q17" s="192" t="s">
        <v>112</v>
      </c>
      <c r="R17" s="192" t="s">
        <v>117</v>
      </c>
      <c r="S17" s="192" t="s">
        <v>2091</v>
      </c>
      <c r="T17" s="192">
        <v>21.6</v>
      </c>
      <c r="U17" s="192"/>
      <c r="V17" s="192">
        <v>3.8</v>
      </c>
      <c r="W17" s="192"/>
      <c r="X17" s="382">
        <v>717.7</v>
      </c>
      <c r="Y17" s="192"/>
      <c r="Z17" s="192">
        <v>430.62</v>
      </c>
      <c r="AA17" s="192">
        <v>287.08</v>
      </c>
    </row>
    <row r="18" spans="1:27" ht="21">
      <c r="A18" s="767"/>
      <c r="B18" s="767"/>
      <c r="C18" s="192">
        <v>3</v>
      </c>
      <c r="D18" s="193" t="s">
        <v>119</v>
      </c>
      <c r="E18" s="192" t="s">
        <v>120</v>
      </c>
      <c r="F18" s="192" t="s">
        <v>111</v>
      </c>
      <c r="G18" s="192">
        <v>500</v>
      </c>
      <c r="H18" s="192">
        <v>80</v>
      </c>
      <c r="I18" s="192">
        <v>2844</v>
      </c>
      <c r="J18" s="192"/>
      <c r="K18" s="192" t="s">
        <v>111</v>
      </c>
      <c r="L18" s="192">
        <v>4</v>
      </c>
      <c r="M18" s="192" t="s">
        <v>111</v>
      </c>
      <c r="N18" s="192" t="s">
        <v>112</v>
      </c>
      <c r="O18" s="192" t="s">
        <v>112</v>
      </c>
      <c r="P18" s="192" t="s">
        <v>112</v>
      </c>
      <c r="Q18" s="192" t="s">
        <v>112</v>
      </c>
      <c r="R18" s="192" t="s">
        <v>117</v>
      </c>
      <c r="S18" s="192" t="s">
        <v>2091</v>
      </c>
      <c r="T18" s="384">
        <v>8</v>
      </c>
      <c r="U18" s="384">
        <v>3</v>
      </c>
      <c r="V18" s="384">
        <v>45</v>
      </c>
      <c r="W18" s="384">
        <v>20</v>
      </c>
      <c r="X18" s="382">
        <v>192</v>
      </c>
      <c r="Y18" s="381">
        <v>50</v>
      </c>
      <c r="Z18" s="381">
        <v>60</v>
      </c>
      <c r="AA18" s="381">
        <v>82</v>
      </c>
    </row>
    <row r="19" spans="1:27" ht="31.5">
      <c r="A19" s="767"/>
      <c r="B19" s="767"/>
      <c r="C19" s="192">
        <v>4</v>
      </c>
      <c r="D19" s="193" t="s">
        <v>2479</v>
      </c>
      <c r="E19" s="192" t="s">
        <v>121</v>
      </c>
      <c r="F19" s="192" t="s">
        <v>111</v>
      </c>
      <c r="G19" s="192">
        <v>650</v>
      </c>
      <c r="H19" s="192">
        <v>50</v>
      </c>
      <c r="I19" s="192">
        <v>7000</v>
      </c>
      <c r="J19" s="192">
        <v>360</v>
      </c>
      <c r="K19" s="192" t="s">
        <v>111</v>
      </c>
      <c r="L19" s="192">
        <v>5</v>
      </c>
      <c r="M19" s="192" t="s">
        <v>111</v>
      </c>
      <c r="N19" s="192" t="s">
        <v>112</v>
      </c>
      <c r="O19" s="192" t="s">
        <v>112</v>
      </c>
      <c r="P19" s="192" t="s">
        <v>112</v>
      </c>
      <c r="Q19" s="192" t="s">
        <v>112</v>
      </c>
      <c r="R19" s="192" t="s">
        <v>117</v>
      </c>
      <c r="S19" s="192" t="s">
        <v>2091</v>
      </c>
      <c r="T19" s="381">
        <v>32</v>
      </c>
      <c r="U19" s="192"/>
      <c r="V19" s="381">
        <v>179</v>
      </c>
      <c r="W19" s="381">
        <v>123</v>
      </c>
      <c r="X19" s="381">
        <f>Y19+Z19+AA19</f>
        <v>843.5</v>
      </c>
      <c r="Y19" s="381">
        <v>60</v>
      </c>
      <c r="Z19" s="381">
        <v>45</v>
      </c>
      <c r="AA19" s="381">
        <f>(T19+V19)*35*1000/10000</f>
        <v>738.5</v>
      </c>
    </row>
    <row r="20" spans="1:27" ht="31.5">
      <c r="A20" s="767"/>
      <c r="B20" s="766"/>
      <c r="C20" s="192">
        <v>5</v>
      </c>
      <c r="D20" s="193" t="s">
        <v>2480</v>
      </c>
      <c r="E20" s="192" t="s">
        <v>110</v>
      </c>
      <c r="F20" s="192" t="s">
        <v>111</v>
      </c>
      <c r="G20" s="192">
        <v>250</v>
      </c>
      <c r="H20" s="192">
        <v>1000</v>
      </c>
      <c r="I20" s="192">
        <v>2500</v>
      </c>
      <c r="J20" s="192"/>
      <c r="K20" s="192" t="s">
        <v>111</v>
      </c>
      <c r="L20" s="192">
        <v>2</v>
      </c>
      <c r="M20" s="192" t="s">
        <v>111</v>
      </c>
      <c r="N20" s="192" t="s">
        <v>2088</v>
      </c>
      <c r="O20" s="192" t="s">
        <v>2088</v>
      </c>
      <c r="P20" s="192" t="s">
        <v>2088</v>
      </c>
      <c r="Q20" s="192" t="s">
        <v>2088</v>
      </c>
      <c r="R20" s="192" t="s">
        <v>2088</v>
      </c>
      <c r="S20" s="192" t="s">
        <v>112</v>
      </c>
      <c r="T20" s="380">
        <v>12.768</v>
      </c>
      <c r="U20" s="381">
        <v>12.768</v>
      </c>
      <c r="V20" s="380">
        <v>3.5</v>
      </c>
      <c r="W20" s="382">
        <v>1.17</v>
      </c>
      <c r="X20" s="381">
        <v>385.44</v>
      </c>
      <c r="Y20" s="192"/>
      <c r="Z20" s="381"/>
      <c r="AA20" s="381">
        <v>385.44</v>
      </c>
    </row>
    <row r="21" spans="1:27" ht="13.5">
      <c r="A21" s="767"/>
      <c r="B21" s="765" t="s">
        <v>2090</v>
      </c>
      <c r="C21" s="192"/>
      <c r="D21" s="193"/>
      <c r="E21" s="192"/>
      <c r="F21" s="192"/>
      <c r="G21" s="532"/>
      <c r="H21" s="532"/>
      <c r="I21" s="192"/>
      <c r="J21" s="192"/>
      <c r="K21" s="192"/>
      <c r="L21" s="192"/>
      <c r="M21" s="192"/>
      <c r="N21" s="192"/>
      <c r="O21" s="192"/>
      <c r="P21" s="192"/>
      <c r="Q21" s="192"/>
      <c r="R21" s="192"/>
      <c r="S21" s="192" t="s">
        <v>2091</v>
      </c>
      <c r="T21" s="192"/>
      <c r="U21" s="192"/>
      <c r="V21" s="192"/>
      <c r="W21" s="192"/>
      <c r="X21" s="192"/>
      <c r="Y21" s="192"/>
      <c r="Z21" s="192"/>
      <c r="AA21" s="192"/>
    </row>
    <row r="22" spans="1:27" ht="13.5">
      <c r="A22" s="766"/>
      <c r="B22" s="766"/>
      <c r="C22" s="192"/>
      <c r="D22" s="193"/>
      <c r="E22" s="192"/>
      <c r="F22" s="192"/>
      <c r="G22" s="532"/>
      <c r="H22" s="532"/>
      <c r="I22" s="192"/>
      <c r="J22" s="192"/>
      <c r="K22" s="192"/>
      <c r="L22" s="192"/>
      <c r="M22" s="192"/>
      <c r="N22" s="192"/>
      <c r="O22" s="192"/>
      <c r="P22" s="192"/>
      <c r="Q22" s="192"/>
      <c r="R22" s="192"/>
      <c r="S22" s="192" t="s">
        <v>2091</v>
      </c>
      <c r="T22" s="192"/>
      <c r="U22" s="192"/>
      <c r="V22" s="192"/>
      <c r="W22" s="192"/>
      <c r="X22" s="192"/>
      <c r="Y22" s="192"/>
      <c r="Z22" s="192"/>
      <c r="AA22" s="192"/>
    </row>
    <row r="23" spans="1:27" ht="13.5">
      <c r="A23" s="765" t="s">
        <v>122</v>
      </c>
      <c r="B23" s="765" t="s">
        <v>2087</v>
      </c>
      <c r="C23" s="383" t="s">
        <v>108</v>
      </c>
      <c r="D23" s="376">
        <f aca="true" t="shared" si="3" ref="D23:J23">D24+D68+D131+D164+D173+D176+D194</f>
        <v>178</v>
      </c>
      <c r="E23" s="377">
        <f t="shared" si="3"/>
        <v>7</v>
      </c>
      <c r="F23" s="377">
        <f t="shared" si="3"/>
        <v>68</v>
      </c>
      <c r="G23" s="378">
        <f t="shared" si="3"/>
        <v>5851.819047619049</v>
      </c>
      <c r="H23" s="377">
        <f t="shared" si="3"/>
        <v>642.2752380952381</v>
      </c>
      <c r="I23" s="385">
        <f t="shared" si="3"/>
        <v>70637</v>
      </c>
      <c r="J23" s="377">
        <f t="shared" si="3"/>
        <v>8565</v>
      </c>
      <c r="K23" s="377"/>
      <c r="L23" s="377"/>
      <c r="M23" s="377"/>
      <c r="N23" s="377"/>
      <c r="O23" s="377"/>
      <c r="P23" s="377"/>
      <c r="Q23" s="377"/>
      <c r="R23" s="377" t="s">
        <v>2091</v>
      </c>
      <c r="S23" s="377" t="s">
        <v>2091</v>
      </c>
      <c r="T23" s="377">
        <f aca="true" t="shared" si="4" ref="T23:AA23">T24+T68+T131+T164+T173+T176+T194</f>
        <v>413.128</v>
      </c>
      <c r="U23" s="377">
        <f t="shared" si="4"/>
        <v>253.59</v>
      </c>
      <c r="V23" s="377">
        <f t="shared" si="4"/>
        <v>569.1495</v>
      </c>
      <c r="W23" s="378">
        <f t="shared" si="4"/>
        <v>250.1219</v>
      </c>
      <c r="X23" s="378">
        <f t="shared" si="4"/>
        <v>5091.557500000002</v>
      </c>
      <c r="Y23" s="378">
        <f t="shared" si="4"/>
        <v>48.627500000000005</v>
      </c>
      <c r="Z23" s="377">
        <f t="shared" si="4"/>
        <v>176.8</v>
      </c>
      <c r="AA23" s="377">
        <f t="shared" si="4"/>
        <v>4866.130000000001</v>
      </c>
    </row>
    <row r="24" spans="1:27" ht="21">
      <c r="A24" s="767"/>
      <c r="B24" s="767"/>
      <c r="C24" s="386" t="s">
        <v>123</v>
      </c>
      <c r="D24" s="376">
        <v>43</v>
      </c>
      <c r="E24" s="377">
        <v>1</v>
      </c>
      <c r="F24" s="377">
        <v>43</v>
      </c>
      <c r="G24" s="378">
        <f>G25+G26+G27+G28+G29+G30+G31+G32+G33+G34+G35+G36+G37+G38+G39+G40+G41+G42+G43+G44+G45+G46+G47+G48+G49+G50+G51+G52+G53+G54+G55+G56+G57+G58+G59+G60+G61+G62+G63+G64+G65+G66+G67</f>
        <v>1556.9600000000007</v>
      </c>
      <c r="H24" s="378"/>
      <c r="I24" s="385">
        <f>I25+I26+I27+I28+I29+I30+I31+I32+I33+I34+I35+I36+I37+I38+I39+I40+I41+I42+I43+I44+I45+I46+I47+I48+I49+I50+I51+I52+I53+I54+I55+I56+I57+I58+I59+I60+I61+I62+I63+I64+I65+I66+I67</f>
        <v>20759</v>
      </c>
      <c r="J24" s="385"/>
      <c r="K24" s="385"/>
      <c r="L24" s="385"/>
      <c r="M24" s="385"/>
      <c r="N24" s="385"/>
      <c r="O24" s="385"/>
      <c r="P24" s="385"/>
      <c r="Q24" s="385"/>
      <c r="R24" s="192" t="s">
        <v>2091</v>
      </c>
      <c r="S24" s="192" t="s">
        <v>2091</v>
      </c>
      <c r="T24" s="378">
        <f>T25+T26+T27+T28+T29+T30+T31+T32+T33+T34+T35+T36+T37+T38+T39+T40+T41+T42+T43+T44+T45+T46+T47+T48+T49+T50+T51+T52+T53+T54+T55+T56+T57+T58+T59+T60+T61+T62+T63+T64+T65+T66+T67</f>
        <v>130.09799999999996</v>
      </c>
      <c r="U24" s="378">
        <f>U25+U26+U27+U28+U29+U30+U31+U32+U33+U34+U35+U36+U37+U38+U39+U40+U41+U42+U43+U44+U45+U46+U47+U48+U49+U50+U51+U52+U53+U54+U55+U56+U57+U58+U59+U60+U61+U62+U63+U64+U65+U66+U67</f>
        <v>37.86000000000001</v>
      </c>
      <c r="V24" s="378">
        <f>V25+V26+V27+V28+V29+V30+V31+V32+V33+V34+V35+V36+V37+V38+V39+V40+V41+V42+V43+V44+V45+V46+V47+V48+V49+V50+V51+V52+V53+V54+V55+V56+V57+V58+V59+V60+V61+V62+V63+V64+V65+V66+V67</f>
        <v>186.83100000000002</v>
      </c>
      <c r="W24" s="378">
        <f>W25+W26+W27+W28+W29+W30+W31+W32+W33+W34+W35+W36+W37+W38+W39+W40+W41+W42+W43+W44+W45+W46+W47+W48+W49+W50+W51+W52+W53+W54+W55+W56+W57+W58+W59+W60+W61+W62+W63+W64+W65+W66+W67</f>
        <v>36.93000000000001</v>
      </c>
      <c r="X24" s="378">
        <f>X25+X26+X27+X28+X29+X30+X31+X32+X33+X34+X35+X36+X37+X38+X39+X40+X41+X42+X43+X44+X45+X46+X47+X48+X49+X50+X51+X52+X53+X54+X55+X56+X57+X58+X59+X60+X61+X62+X63+X64+X65+X66+X67</f>
        <v>1682.8850000000004</v>
      </c>
      <c r="Y24" s="378"/>
      <c r="Z24" s="378"/>
      <c r="AA24" s="378">
        <f>AA25+AA26+AA27+AA28+AA29+AA30+AA31+AA32+AA33+AA34+AA35+AA36+AA37+AA38+AA39+AA40+AA41+AA42+AA43+AA44+AA45+AA46+AA47+AA48+AA49+AA50+AA51+AA52+AA53+AA54+AA55+AA56+AA57+AA58+AA59+AA60+AA61+AA62+AA63+AA64+AA65+AA66+AA67</f>
        <v>1682.8850000000004</v>
      </c>
    </row>
    <row r="25" spans="1:27" ht="21">
      <c r="A25" s="767"/>
      <c r="B25" s="767"/>
      <c r="C25" s="192">
        <v>1</v>
      </c>
      <c r="D25" s="195" t="s">
        <v>124</v>
      </c>
      <c r="E25" s="762" t="s">
        <v>125</v>
      </c>
      <c r="F25" s="192" t="s">
        <v>111</v>
      </c>
      <c r="G25" s="388">
        <v>41.26</v>
      </c>
      <c r="H25" s="191"/>
      <c r="I25" s="192">
        <v>550</v>
      </c>
      <c r="J25" s="192"/>
      <c r="K25" s="192"/>
      <c r="L25" s="192"/>
      <c r="M25" s="192"/>
      <c r="N25" s="192"/>
      <c r="O25" s="192"/>
      <c r="P25" s="192"/>
      <c r="Q25" s="192"/>
      <c r="R25" s="192" t="s">
        <v>2091</v>
      </c>
      <c r="S25" s="192" t="s">
        <v>2091</v>
      </c>
      <c r="T25" s="388">
        <v>3.6</v>
      </c>
      <c r="U25" s="192">
        <v>2.16</v>
      </c>
      <c r="V25" s="389">
        <v>4.95</v>
      </c>
      <c r="W25" s="192">
        <v>1.98</v>
      </c>
      <c r="X25" s="192">
        <v>41.25</v>
      </c>
      <c r="Y25" s="192"/>
      <c r="Z25" s="192"/>
      <c r="AA25" s="192">
        <v>41.25</v>
      </c>
    </row>
    <row r="26" spans="1:27" ht="13.5">
      <c r="A26" s="767"/>
      <c r="B26" s="767"/>
      <c r="C26" s="192">
        <v>2</v>
      </c>
      <c r="D26" s="195" t="s">
        <v>126</v>
      </c>
      <c r="E26" s="763"/>
      <c r="F26" s="192" t="s">
        <v>116</v>
      </c>
      <c r="G26" s="388">
        <v>36.45</v>
      </c>
      <c r="H26" s="191"/>
      <c r="I26" s="192">
        <v>486</v>
      </c>
      <c r="J26" s="192"/>
      <c r="K26" s="192"/>
      <c r="L26" s="192"/>
      <c r="M26" s="192"/>
      <c r="N26" s="192"/>
      <c r="O26" s="192"/>
      <c r="P26" s="192"/>
      <c r="Q26" s="192"/>
      <c r="R26" s="192" t="s">
        <v>2091</v>
      </c>
      <c r="S26" s="192" t="s">
        <v>2091</v>
      </c>
      <c r="T26" s="388">
        <v>2.3</v>
      </c>
      <c r="U26" s="192"/>
      <c r="V26" s="389">
        <v>4.374</v>
      </c>
      <c r="W26" s="192"/>
      <c r="X26" s="192">
        <v>41.31</v>
      </c>
      <c r="Y26" s="192"/>
      <c r="Z26" s="192"/>
      <c r="AA26" s="192">
        <v>41.31</v>
      </c>
    </row>
    <row r="27" spans="1:27" ht="13.5">
      <c r="A27" s="767"/>
      <c r="B27" s="767"/>
      <c r="C27" s="192">
        <v>3</v>
      </c>
      <c r="D27" s="195" t="s">
        <v>127</v>
      </c>
      <c r="E27" s="763"/>
      <c r="F27" s="192" t="s">
        <v>116</v>
      </c>
      <c r="G27" s="388">
        <v>27.22</v>
      </c>
      <c r="H27" s="191"/>
      <c r="I27" s="192">
        <v>363</v>
      </c>
      <c r="J27" s="192"/>
      <c r="K27" s="192"/>
      <c r="L27" s="192"/>
      <c r="M27" s="192"/>
      <c r="N27" s="192"/>
      <c r="O27" s="192"/>
      <c r="P27" s="192"/>
      <c r="Q27" s="192"/>
      <c r="R27" s="192" t="s">
        <v>2091</v>
      </c>
      <c r="S27" s="192" t="s">
        <v>2091</v>
      </c>
      <c r="T27" s="388">
        <v>1.36</v>
      </c>
      <c r="U27" s="192"/>
      <c r="V27" s="389">
        <v>3.267</v>
      </c>
      <c r="W27" s="192"/>
      <c r="X27" s="192">
        <v>30.86</v>
      </c>
      <c r="Y27" s="192"/>
      <c r="Z27" s="192"/>
      <c r="AA27" s="192">
        <v>30.86</v>
      </c>
    </row>
    <row r="28" spans="1:27" ht="13.5">
      <c r="A28" s="767"/>
      <c r="B28" s="767"/>
      <c r="C28" s="192">
        <v>4</v>
      </c>
      <c r="D28" s="195" t="s">
        <v>128</v>
      </c>
      <c r="E28" s="763"/>
      <c r="F28" s="192" t="s">
        <v>111</v>
      </c>
      <c r="G28" s="388">
        <v>61.88</v>
      </c>
      <c r="H28" s="191"/>
      <c r="I28" s="192">
        <v>825</v>
      </c>
      <c r="J28" s="192"/>
      <c r="K28" s="192"/>
      <c r="L28" s="192"/>
      <c r="M28" s="192"/>
      <c r="N28" s="192"/>
      <c r="O28" s="192"/>
      <c r="P28" s="192"/>
      <c r="Q28" s="192"/>
      <c r="R28" s="192" t="s">
        <v>2091</v>
      </c>
      <c r="S28" s="192" t="s">
        <v>2091</v>
      </c>
      <c r="T28" s="388">
        <v>3.2</v>
      </c>
      <c r="U28" s="388">
        <v>3.2</v>
      </c>
      <c r="V28" s="389">
        <v>7.425</v>
      </c>
      <c r="W28" s="192">
        <v>3.9</v>
      </c>
      <c r="X28" s="192">
        <v>61.87</v>
      </c>
      <c r="Y28" s="192"/>
      <c r="Z28" s="192"/>
      <c r="AA28" s="192">
        <v>61.87</v>
      </c>
    </row>
    <row r="29" spans="1:27" ht="13.5">
      <c r="A29" s="767"/>
      <c r="B29" s="767"/>
      <c r="C29" s="192">
        <v>5</v>
      </c>
      <c r="D29" s="195" t="s">
        <v>129</v>
      </c>
      <c r="E29" s="763"/>
      <c r="F29" s="192" t="s">
        <v>111</v>
      </c>
      <c r="G29" s="388">
        <v>20.48</v>
      </c>
      <c r="H29" s="191"/>
      <c r="I29" s="192">
        <v>273</v>
      </c>
      <c r="J29" s="192"/>
      <c r="K29" s="192"/>
      <c r="L29" s="192"/>
      <c r="M29" s="192"/>
      <c r="N29" s="192"/>
      <c r="O29" s="192"/>
      <c r="P29" s="192"/>
      <c r="Q29" s="192"/>
      <c r="R29" s="192" t="s">
        <v>2091</v>
      </c>
      <c r="S29" s="192" t="s">
        <v>2091</v>
      </c>
      <c r="T29" s="388">
        <v>2</v>
      </c>
      <c r="U29" s="388">
        <v>2</v>
      </c>
      <c r="V29" s="389">
        <v>2.457</v>
      </c>
      <c r="W29" s="192">
        <v>1.3</v>
      </c>
      <c r="X29" s="192">
        <v>20.48</v>
      </c>
      <c r="Y29" s="192"/>
      <c r="Z29" s="192"/>
      <c r="AA29" s="192">
        <v>20.48</v>
      </c>
    </row>
    <row r="30" spans="1:27" ht="13.5">
      <c r="A30" s="767"/>
      <c r="B30" s="767"/>
      <c r="C30" s="192">
        <v>6</v>
      </c>
      <c r="D30" s="390" t="s">
        <v>1440</v>
      </c>
      <c r="E30" s="763"/>
      <c r="F30" s="192" t="s">
        <v>116</v>
      </c>
      <c r="G30" s="388">
        <v>92.625</v>
      </c>
      <c r="H30" s="191"/>
      <c r="I30" s="199">
        <v>1235</v>
      </c>
      <c r="J30" s="192"/>
      <c r="K30" s="192"/>
      <c r="L30" s="192"/>
      <c r="M30" s="192"/>
      <c r="N30" s="192"/>
      <c r="O30" s="192"/>
      <c r="P30" s="192"/>
      <c r="Q30" s="192"/>
      <c r="R30" s="192" t="s">
        <v>2091</v>
      </c>
      <c r="S30" s="192" t="s">
        <v>2091</v>
      </c>
      <c r="T30" s="388">
        <v>2.75</v>
      </c>
      <c r="U30" s="192"/>
      <c r="V30" s="389">
        <v>11.115</v>
      </c>
      <c r="W30" s="192"/>
      <c r="X30" s="192">
        <v>104.98</v>
      </c>
      <c r="Y30" s="192"/>
      <c r="Z30" s="192"/>
      <c r="AA30" s="192">
        <v>104.98</v>
      </c>
    </row>
    <row r="31" spans="1:27" ht="13.5">
      <c r="A31" s="767"/>
      <c r="B31" s="767"/>
      <c r="C31" s="192">
        <v>7</v>
      </c>
      <c r="D31" s="390" t="s">
        <v>1441</v>
      </c>
      <c r="E31" s="763"/>
      <c r="F31" s="192" t="s">
        <v>116</v>
      </c>
      <c r="G31" s="391">
        <v>81.45</v>
      </c>
      <c r="H31" s="191"/>
      <c r="I31" s="199">
        <v>1086</v>
      </c>
      <c r="J31" s="192"/>
      <c r="K31" s="192"/>
      <c r="L31" s="192"/>
      <c r="M31" s="192"/>
      <c r="N31" s="192"/>
      <c r="O31" s="192"/>
      <c r="P31" s="192"/>
      <c r="Q31" s="192"/>
      <c r="R31" s="192" t="s">
        <v>2091</v>
      </c>
      <c r="S31" s="192" t="s">
        <v>2091</v>
      </c>
      <c r="T31" s="388">
        <v>2.6</v>
      </c>
      <c r="U31" s="192"/>
      <c r="V31" s="389">
        <v>9.774</v>
      </c>
      <c r="W31" s="192"/>
      <c r="X31" s="192">
        <v>92.31</v>
      </c>
      <c r="Y31" s="192"/>
      <c r="Z31" s="192"/>
      <c r="AA31" s="192">
        <v>92.31</v>
      </c>
    </row>
    <row r="32" spans="1:27" ht="13.5">
      <c r="A32" s="767"/>
      <c r="B32" s="767"/>
      <c r="C32" s="192">
        <v>8</v>
      </c>
      <c r="D32" s="390" t="s">
        <v>1442</v>
      </c>
      <c r="E32" s="763"/>
      <c r="F32" s="192" t="s">
        <v>116</v>
      </c>
      <c r="G32" s="391">
        <v>37.2</v>
      </c>
      <c r="H32" s="191"/>
      <c r="I32" s="199">
        <v>496</v>
      </c>
      <c r="J32" s="192"/>
      <c r="K32" s="192"/>
      <c r="L32" s="192"/>
      <c r="M32" s="192"/>
      <c r="N32" s="192"/>
      <c r="O32" s="192"/>
      <c r="P32" s="192"/>
      <c r="Q32" s="192"/>
      <c r="R32" s="192" t="s">
        <v>2091</v>
      </c>
      <c r="S32" s="192" t="s">
        <v>2091</v>
      </c>
      <c r="T32" s="388">
        <v>2.97</v>
      </c>
      <c r="U32" s="192"/>
      <c r="V32" s="389">
        <v>4.464</v>
      </c>
      <c r="W32" s="192"/>
      <c r="X32" s="192">
        <v>42.16</v>
      </c>
      <c r="Y32" s="192"/>
      <c r="Z32" s="192"/>
      <c r="AA32" s="192">
        <v>42.16</v>
      </c>
    </row>
    <row r="33" spans="1:27" ht="13.5">
      <c r="A33" s="767"/>
      <c r="B33" s="767"/>
      <c r="C33" s="192">
        <v>9</v>
      </c>
      <c r="D33" s="390" t="s">
        <v>1443</v>
      </c>
      <c r="E33" s="763"/>
      <c r="F33" s="192" t="s">
        <v>116</v>
      </c>
      <c r="G33" s="391">
        <v>107.25</v>
      </c>
      <c r="H33" s="191"/>
      <c r="I33" s="199">
        <v>1430</v>
      </c>
      <c r="J33" s="192"/>
      <c r="K33" s="192"/>
      <c r="L33" s="192"/>
      <c r="M33" s="192"/>
      <c r="N33" s="192"/>
      <c r="O33" s="192"/>
      <c r="P33" s="192"/>
      <c r="Q33" s="192"/>
      <c r="R33" s="192" t="s">
        <v>2091</v>
      </c>
      <c r="S33" s="192" t="s">
        <v>2091</v>
      </c>
      <c r="T33" s="388">
        <v>4.6</v>
      </c>
      <c r="U33" s="192"/>
      <c r="V33" s="389">
        <v>12.87</v>
      </c>
      <c r="W33" s="192"/>
      <c r="X33" s="192">
        <v>121.55</v>
      </c>
      <c r="Y33" s="192"/>
      <c r="Z33" s="192"/>
      <c r="AA33" s="192">
        <v>121.55</v>
      </c>
    </row>
    <row r="34" spans="1:27" ht="13.5">
      <c r="A34" s="767"/>
      <c r="B34" s="767"/>
      <c r="C34" s="192">
        <v>10</v>
      </c>
      <c r="D34" s="195" t="s">
        <v>130</v>
      </c>
      <c r="E34" s="763"/>
      <c r="F34" s="192" t="s">
        <v>111</v>
      </c>
      <c r="G34" s="391">
        <v>21.45</v>
      </c>
      <c r="H34" s="191"/>
      <c r="I34" s="193">
        <v>286</v>
      </c>
      <c r="J34" s="192"/>
      <c r="K34" s="192"/>
      <c r="L34" s="192"/>
      <c r="M34" s="192"/>
      <c r="N34" s="192"/>
      <c r="O34" s="192"/>
      <c r="P34" s="192"/>
      <c r="Q34" s="192"/>
      <c r="R34" s="192" t="s">
        <v>2091</v>
      </c>
      <c r="S34" s="192" t="s">
        <v>2091</v>
      </c>
      <c r="T34" s="388">
        <v>1.6</v>
      </c>
      <c r="U34" s="192">
        <v>1.6</v>
      </c>
      <c r="V34" s="389">
        <v>2.574</v>
      </c>
      <c r="W34" s="192">
        <v>1.3</v>
      </c>
      <c r="X34" s="192">
        <v>21.45</v>
      </c>
      <c r="Y34" s="192"/>
      <c r="Z34" s="192"/>
      <c r="AA34" s="192">
        <v>21.45</v>
      </c>
    </row>
    <row r="35" spans="1:27" ht="13.5">
      <c r="A35" s="767"/>
      <c r="B35" s="767"/>
      <c r="C35" s="192">
        <v>11</v>
      </c>
      <c r="D35" s="195" t="s">
        <v>131</v>
      </c>
      <c r="E35" s="763"/>
      <c r="F35" s="192" t="s">
        <v>116</v>
      </c>
      <c r="G35" s="388">
        <v>33.975</v>
      </c>
      <c r="H35" s="191"/>
      <c r="I35" s="193">
        <v>453</v>
      </c>
      <c r="J35" s="192"/>
      <c r="K35" s="192"/>
      <c r="L35" s="192"/>
      <c r="M35" s="192"/>
      <c r="N35" s="192"/>
      <c r="O35" s="192"/>
      <c r="P35" s="192"/>
      <c r="Q35" s="192"/>
      <c r="R35" s="192" t="s">
        <v>2091</v>
      </c>
      <c r="S35" s="192" t="s">
        <v>2091</v>
      </c>
      <c r="T35" s="388">
        <v>4.2</v>
      </c>
      <c r="U35" s="192"/>
      <c r="V35" s="389">
        <v>4.077</v>
      </c>
      <c r="W35" s="192"/>
      <c r="X35" s="192">
        <v>38.5</v>
      </c>
      <c r="Y35" s="192"/>
      <c r="Z35" s="192"/>
      <c r="AA35" s="192">
        <v>38.5</v>
      </c>
    </row>
    <row r="36" spans="1:27" ht="13.5">
      <c r="A36" s="767"/>
      <c r="B36" s="767"/>
      <c r="C36" s="192">
        <v>12</v>
      </c>
      <c r="D36" s="195" t="s">
        <v>132</v>
      </c>
      <c r="E36" s="763"/>
      <c r="F36" s="192" t="s">
        <v>111</v>
      </c>
      <c r="G36" s="391">
        <v>24.68</v>
      </c>
      <c r="H36" s="191"/>
      <c r="I36" s="193">
        <v>329</v>
      </c>
      <c r="J36" s="192"/>
      <c r="K36" s="192"/>
      <c r="L36" s="192"/>
      <c r="M36" s="192"/>
      <c r="N36" s="192"/>
      <c r="O36" s="192"/>
      <c r="P36" s="192"/>
      <c r="Q36" s="192"/>
      <c r="R36" s="192" t="s">
        <v>2091</v>
      </c>
      <c r="S36" s="192" t="s">
        <v>2091</v>
      </c>
      <c r="T36" s="388">
        <v>2.6</v>
      </c>
      <c r="U36" s="192">
        <v>2</v>
      </c>
      <c r="V36" s="389">
        <v>2.961</v>
      </c>
      <c r="W36" s="192">
        <v>1.6</v>
      </c>
      <c r="X36" s="192">
        <v>24.67</v>
      </c>
      <c r="Y36" s="192"/>
      <c r="Z36" s="192"/>
      <c r="AA36" s="192">
        <v>24.67</v>
      </c>
    </row>
    <row r="37" spans="1:27" ht="13.5">
      <c r="A37" s="767"/>
      <c r="B37" s="767"/>
      <c r="C37" s="192">
        <v>13</v>
      </c>
      <c r="D37" s="195" t="s">
        <v>133</v>
      </c>
      <c r="E37" s="763"/>
      <c r="F37" s="192" t="s">
        <v>111</v>
      </c>
      <c r="G37" s="391">
        <v>37.05</v>
      </c>
      <c r="H37" s="191"/>
      <c r="I37" s="193">
        <v>494</v>
      </c>
      <c r="J37" s="192"/>
      <c r="K37" s="192"/>
      <c r="L37" s="192"/>
      <c r="M37" s="192"/>
      <c r="N37" s="192"/>
      <c r="O37" s="192"/>
      <c r="P37" s="192"/>
      <c r="Q37" s="192"/>
      <c r="R37" s="192" t="s">
        <v>2091</v>
      </c>
      <c r="S37" s="192" t="s">
        <v>2091</v>
      </c>
      <c r="T37" s="388">
        <v>2.9</v>
      </c>
      <c r="U37" s="192">
        <v>2.1</v>
      </c>
      <c r="V37" s="389">
        <v>4.446</v>
      </c>
      <c r="W37" s="192">
        <v>2.45</v>
      </c>
      <c r="X37" s="192">
        <v>37.05</v>
      </c>
      <c r="Y37" s="192"/>
      <c r="Z37" s="192"/>
      <c r="AA37" s="192">
        <v>37.05</v>
      </c>
    </row>
    <row r="38" spans="1:27" ht="13.5">
      <c r="A38" s="767"/>
      <c r="B38" s="767"/>
      <c r="C38" s="192">
        <v>14</v>
      </c>
      <c r="D38" s="195" t="s">
        <v>134</v>
      </c>
      <c r="E38" s="763"/>
      <c r="F38" s="192" t="s">
        <v>116</v>
      </c>
      <c r="G38" s="391">
        <v>67.95</v>
      </c>
      <c r="H38" s="191"/>
      <c r="I38" s="193">
        <v>906</v>
      </c>
      <c r="J38" s="192"/>
      <c r="K38" s="192"/>
      <c r="L38" s="192"/>
      <c r="M38" s="192"/>
      <c r="N38" s="192"/>
      <c r="O38" s="192"/>
      <c r="P38" s="192"/>
      <c r="Q38" s="192"/>
      <c r="R38" s="192" t="s">
        <v>2091</v>
      </c>
      <c r="S38" s="192" t="s">
        <v>2091</v>
      </c>
      <c r="T38" s="388">
        <v>7.248</v>
      </c>
      <c r="U38" s="192"/>
      <c r="V38" s="389">
        <v>8.154</v>
      </c>
      <c r="W38" s="192"/>
      <c r="X38" s="192">
        <v>77.01</v>
      </c>
      <c r="Y38" s="192"/>
      <c r="Z38" s="192"/>
      <c r="AA38" s="192">
        <v>77.01</v>
      </c>
    </row>
    <row r="39" spans="1:27" ht="13.5">
      <c r="A39" s="767"/>
      <c r="B39" s="767"/>
      <c r="C39" s="192">
        <v>15</v>
      </c>
      <c r="D39" s="195" t="s">
        <v>135</v>
      </c>
      <c r="E39" s="763"/>
      <c r="F39" s="192" t="s">
        <v>111</v>
      </c>
      <c r="G39" s="391">
        <v>51.45</v>
      </c>
      <c r="H39" s="191"/>
      <c r="I39" s="193">
        <v>686</v>
      </c>
      <c r="J39" s="192"/>
      <c r="K39" s="192"/>
      <c r="L39" s="192"/>
      <c r="M39" s="192"/>
      <c r="N39" s="192"/>
      <c r="O39" s="192"/>
      <c r="P39" s="192"/>
      <c r="Q39" s="192"/>
      <c r="R39" s="192" t="s">
        <v>2091</v>
      </c>
      <c r="S39" s="192" t="s">
        <v>2091</v>
      </c>
      <c r="T39" s="388">
        <v>1.9</v>
      </c>
      <c r="U39" s="192">
        <v>1.9</v>
      </c>
      <c r="V39" s="389">
        <v>6.174</v>
      </c>
      <c r="W39" s="192">
        <v>2.8</v>
      </c>
      <c r="X39" s="192">
        <v>51.45</v>
      </c>
      <c r="Y39" s="192"/>
      <c r="Z39" s="192"/>
      <c r="AA39" s="192">
        <v>51.45</v>
      </c>
    </row>
    <row r="40" spans="1:27" ht="13.5">
      <c r="A40" s="767"/>
      <c r="B40" s="767"/>
      <c r="C40" s="192">
        <v>16</v>
      </c>
      <c r="D40" s="195" t="s">
        <v>1444</v>
      </c>
      <c r="E40" s="763"/>
      <c r="F40" s="192" t="s">
        <v>111</v>
      </c>
      <c r="G40" s="388">
        <v>27.525</v>
      </c>
      <c r="H40" s="191"/>
      <c r="I40" s="193">
        <v>367</v>
      </c>
      <c r="J40" s="192"/>
      <c r="K40" s="192"/>
      <c r="L40" s="192"/>
      <c r="M40" s="192"/>
      <c r="N40" s="192"/>
      <c r="O40" s="192"/>
      <c r="P40" s="192"/>
      <c r="Q40" s="192"/>
      <c r="R40" s="192" t="s">
        <v>2091</v>
      </c>
      <c r="S40" s="192" t="s">
        <v>2091</v>
      </c>
      <c r="T40" s="388">
        <v>2.3</v>
      </c>
      <c r="U40" s="192">
        <v>2.3</v>
      </c>
      <c r="V40" s="389">
        <v>3.303</v>
      </c>
      <c r="W40" s="192">
        <v>1.6</v>
      </c>
      <c r="X40" s="381">
        <v>27.525</v>
      </c>
      <c r="Y40" s="192"/>
      <c r="Z40" s="192"/>
      <c r="AA40" s="381">
        <v>27.525</v>
      </c>
    </row>
    <row r="41" spans="1:27" ht="13.5">
      <c r="A41" s="767"/>
      <c r="B41" s="767"/>
      <c r="C41" s="192">
        <v>17</v>
      </c>
      <c r="D41" s="195" t="s">
        <v>136</v>
      </c>
      <c r="E41" s="763"/>
      <c r="F41" s="192" t="s">
        <v>111</v>
      </c>
      <c r="G41" s="391">
        <v>24.6</v>
      </c>
      <c r="H41" s="191"/>
      <c r="I41" s="193">
        <v>328</v>
      </c>
      <c r="J41" s="192"/>
      <c r="K41" s="192"/>
      <c r="L41" s="192"/>
      <c r="M41" s="192"/>
      <c r="N41" s="192"/>
      <c r="O41" s="192"/>
      <c r="P41" s="192"/>
      <c r="Q41" s="192"/>
      <c r="R41" s="192" t="s">
        <v>2091</v>
      </c>
      <c r="S41" s="192" t="s">
        <v>2091</v>
      </c>
      <c r="T41" s="388">
        <v>2.624</v>
      </c>
      <c r="U41" s="192">
        <v>2</v>
      </c>
      <c r="V41" s="389">
        <v>2.952</v>
      </c>
      <c r="W41" s="192">
        <v>1.6</v>
      </c>
      <c r="X41" s="192">
        <v>24.6</v>
      </c>
      <c r="Y41" s="192"/>
      <c r="Z41" s="192"/>
      <c r="AA41" s="192">
        <v>24.6</v>
      </c>
    </row>
    <row r="42" spans="1:27" ht="13.5">
      <c r="A42" s="767"/>
      <c r="B42" s="767"/>
      <c r="C42" s="192">
        <v>18</v>
      </c>
      <c r="D42" s="195" t="s">
        <v>137</v>
      </c>
      <c r="E42" s="763"/>
      <c r="F42" s="192" t="s">
        <v>111</v>
      </c>
      <c r="G42" s="388">
        <v>25.725</v>
      </c>
      <c r="H42" s="191"/>
      <c r="I42" s="193">
        <v>343</v>
      </c>
      <c r="J42" s="192"/>
      <c r="K42" s="192"/>
      <c r="L42" s="192"/>
      <c r="M42" s="192"/>
      <c r="N42" s="192"/>
      <c r="O42" s="192"/>
      <c r="P42" s="192"/>
      <c r="Q42" s="192"/>
      <c r="R42" s="192" t="s">
        <v>2091</v>
      </c>
      <c r="S42" s="192" t="s">
        <v>2091</v>
      </c>
      <c r="T42" s="388">
        <v>2.744</v>
      </c>
      <c r="U42" s="192">
        <v>2</v>
      </c>
      <c r="V42" s="389">
        <v>3.087</v>
      </c>
      <c r="W42" s="192">
        <v>1.8</v>
      </c>
      <c r="X42" s="381">
        <v>25.725</v>
      </c>
      <c r="Y42" s="192"/>
      <c r="Z42" s="192"/>
      <c r="AA42" s="381">
        <v>25.725</v>
      </c>
    </row>
    <row r="43" spans="1:27" ht="13.5">
      <c r="A43" s="767"/>
      <c r="B43" s="767"/>
      <c r="C43" s="192">
        <v>19</v>
      </c>
      <c r="D43" s="195" t="s">
        <v>1445</v>
      </c>
      <c r="E43" s="763"/>
      <c r="F43" s="192" t="s">
        <v>116</v>
      </c>
      <c r="G43" s="388">
        <v>30.225</v>
      </c>
      <c r="H43" s="191"/>
      <c r="I43" s="193">
        <v>403</v>
      </c>
      <c r="J43" s="192"/>
      <c r="K43" s="192"/>
      <c r="L43" s="192"/>
      <c r="M43" s="192"/>
      <c r="N43" s="192"/>
      <c r="O43" s="192"/>
      <c r="P43" s="192"/>
      <c r="Q43" s="192"/>
      <c r="R43" s="192" t="s">
        <v>2091</v>
      </c>
      <c r="S43" s="192" t="s">
        <v>2091</v>
      </c>
      <c r="T43" s="388">
        <v>3.6</v>
      </c>
      <c r="U43" s="192"/>
      <c r="V43" s="389">
        <v>3.627</v>
      </c>
      <c r="W43" s="192"/>
      <c r="X43" s="381">
        <v>34.255</v>
      </c>
      <c r="Y43" s="381"/>
      <c r="Z43" s="192"/>
      <c r="AA43" s="381">
        <v>34.255</v>
      </c>
    </row>
    <row r="44" spans="1:27" ht="13.5">
      <c r="A44" s="767"/>
      <c r="B44" s="767"/>
      <c r="C44" s="192">
        <v>20</v>
      </c>
      <c r="D44" s="390" t="s">
        <v>138</v>
      </c>
      <c r="E44" s="763"/>
      <c r="F44" s="192" t="s">
        <v>116</v>
      </c>
      <c r="G44" s="391">
        <v>20.25</v>
      </c>
      <c r="H44" s="191"/>
      <c r="I44" s="199">
        <v>270</v>
      </c>
      <c r="J44" s="192"/>
      <c r="K44" s="192"/>
      <c r="L44" s="192"/>
      <c r="M44" s="192"/>
      <c r="N44" s="192"/>
      <c r="O44" s="192"/>
      <c r="P44" s="192"/>
      <c r="Q44" s="192"/>
      <c r="R44" s="192" t="s">
        <v>2091</v>
      </c>
      <c r="S44" s="192" t="s">
        <v>2091</v>
      </c>
      <c r="T44" s="388">
        <v>2.16</v>
      </c>
      <c r="U44" s="192"/>
      <c r="V44" s="389">
        <v>2.43</v>
      </c>
      <c r="W44" s="192"/>
      <c r="X44" s="192">
        <v>22.95</v>
      </c>
      <c r="Y44" s="381"/>
      <c r="Z44" s="192"/>
      <c r="AA44" s="192">
        <v>22.95</v>
      </c>
    </row>
    <row r="45" spans="1:27" ht="13.5">
      <c r="A45" s="767"/>
      <c r="B45" s="767"/>
      <c r="C45" s="192">
        <v>21</v>
      </c>
      <c r="D45" s="390" t="s">
        <v>139</v>
      </c>
      <c r="E45" s="763"/>
      <c r="F45" s="192" t="s">
        <v>116</v>
      </c>
      <c r="G45" s="388">
        <v>25.875</v>
      </c>
      <c r="H45" s="191"/>
      <c r="I45" s="199">
        <v>345</v>
      </c>
      <c r="J45" s="192"/>
      <c r="K45" s="192"/>
      <c r="L45" s="192"/>
      <c r="M45" s="192"/>
      <c r="N45" s="192"/>
      <c r="O45" s="192"/>
      <c r="P45" s="192"/>
      <c r="Q45" s="192"/>
      <c r="R45" s="192" t="s">
        <v>2091</v>
      </c>
      <c r="S45" s="192" t="s">
        <v>2091</v>
      </c>
      <c r="T45" s="388">
        <v>2.76</v>
      </c>
      <c r="U45" s="192"/>
      <c r="V45" s="389">
        <v>3.105</v>
      </c>
      <c r="W45" s="192"/>
      <c r="X45" s="381">
        <v>29.325</v>
      </c>
      <c r="Y45" s="381"/>
      <c r="Z45" s="192"/>
      <c r="AA45" s="381">
        <v>29.325</v>
      </c>
    </row>
    <row r="46" spans="1:27" ht="13.5">
      <c r="A46" s="767"/>
      <c r="B46" s="767"/>
      <c r="C46" s="192">
        <v>22</v>
      </c>
      <c r="D46" s="390" t="s">
        <v>140</v>
      </c>
      <c r="E46" s="763"/>
      <c r="F46" s="192" t="s">
        <v>116</v>
      </c>
      <c r="G46" s="391">
        <v>35.7</v>
      </c>
      <c r="H46" s="191"/>
      <c r="I46" s="199">
        <v>476</v>
      </c>
      <c r="J46" s="192"/>
      <c r="K46" s="192"/>
      <c r="L46" s="192"/>
      <c r="M46" s="192"/>
      <c r="N46" s="192"/>
      <c r="O46" s="192"/>
      <c r="P46" s="192"/>
      <c r="Q46" s="192"/>
      <c r="R46" s="192" t="s">
        <v>2091</v>
      </c>
      <c r="S46" s="192" t="s">
        <v>2091</v>
      </c>
      <c r="T46" s="388">
        <v>3.808</v>
      </c>
      <c r="U46" s="192"/>
      <c r="V46" s="389">
        <v>4.284</v>
      </c>
      <c r="W46" s="192"/>
      <c r="X46" s="192">
        <v>40.46</v>
      </c>
      <c r="Y46" s="381"/>
      <c r="Z46" s="192"/>
      <c r="AA46" s="192">
        <v>40.46</v>
      </c>
    </row>
    <row r="47" spans="1:27" ht="13.5">
      <c r="A47" s="767"/>
      <c r="B47" s="767"/>
      <c r="C47" s="192">
        <v>23</v>
      </c>
      <c r="D47" s="390" t="s">
        <v>141</v>
      </c>
      <c r="E47" s="763"/>
      <c r="F47" s="192" t="s">
        <v>116</v>
      </c>
      <c r="G47" s="388">
        <v>26.325</v>
      </c>
      <c r="H47" s="191"/>
      <c r="I47" s="199">
        <v>351</v>
      </c>
      <c r="J47" s="192"/>
      <c r="K47" s="192"/>
      <c r="L47" s="192"/>
      <c r="M47" s="192"/>
      <c r="N47" s="192"/>
      <c r="O47" s="192"/>
      <c r="P47" s="192"/>
      <c r="Q47" s="192"/>
      <c r="R47" s="192" t="s">
        <v>2091</v>
      </c>
      <c r="S47" s="192" t="s">
        <v>2091</v>
      </c>
      <c r="T47" s="388">
        <v>3.2</v>
      </c>
      <c r="U47" s="192"/>
      <c r="V47" s="389">
        <v>3.159</v>
      </c>
      <c r="W47" s="192"/>
      <c r="X47" s="381">
        <v>29.835</v>
      </c>
      <c r="Y47" s="381"/>
      <c r="Z47" s="192"/>
      <c r="AA47" s="381">
        <v>29.835</v>
      </c>
    </row>
    <row r="48" spans="1:27" ht="13.5">
      <c r="A48" s="767"/>
      <c r="B48" s="767"/>
      <c r="C48" s="192">
        <v>24</v>
      </c>
      <c r="D48" s="390" t="s">
        <v>1446</v>
      </c>
      <c r="E48" s="763"/>
      <c r="F48" s="192" t="s">
        <v>111</v>
      </c>
      <c r="G48" s="391">
        <v>26.7</v>
      </c>
      <c r="H48" s="191"/>
      <c r="I48" s="199">
        <v>356</v>
      </c>
      <c r="J48" s="192"/>
      <c r="K48" s="192"/>
      <c r="L48" s="192"/>
      <c r="M48" s="192"/>
      <c r="N48" s="192"/>
      <c r="O48" s="192"/>
      <c r="P48" s="192"/>
      <c r="Q48" s="192"/>
      <c r="R48" s="192" t="s">
        <v>2091</v>
      </c>
      <c r="S48" s="192" t="s">
        <v>2091</v>
      </c>
      <c r="T48" s="388">
        <v>2.848</v>
      </c>
      <c r="U48" s="192">
        <v>1.5</v>
      </c>
      <c r="V48" s="389">
        <v>3.204</v>
      </c>
      <c r="W48" s="192">
        <v>1.9</v>
      </c>
      <c r="X48" s="192">
        <v>26.7</v>
      </c>
      <c r="Y48" s="381"/>
      <c r="Z48" s="192"/>
      <c r="AA48" s="192">
        <v>26.7</v>
      </c>
    </row>
    <row r="49" spans="1:27" ht="13.5">
      <c r="A49" s="767"/>
      <c r="B49" s="767"/>
      <c r="C49" s="192">
        <v>25</v>
      </c>
      <c r="D49" s="390" t="s">
        <v>1447</v>
      </c>
      <c r="E49" s="763"/>
      <c r="F49" s="192" t="s">
        <v>111</v>
      </c>
      <c r="G49" s="391">
        <v>28.95</v>
      </c>
      <c r="H49" s="191"/>
      <c r="I49" s="199">
        <v>386</v>
      </c>
      <c r="J49" s="192"/>
      <c r="K49" s="192"/>
      <c r="L49" s="192"/>
      <c r="M49" s="192"/>
      <c r="N49" s="192"/>
      <c r="O49" s="192"/>
      <c r="P49" s="192"/>
      <c r="Q49" s="192"/>
      <c r="R49" s="192" t="s">
        <v>2091</v>
      </c>
      <c r="S49" s="192" t="s">
        <v>2091</v>
      </c>
      <c r="T49" s="388">
        <v>1.6</v>
      </c>
      <c r="U49" s="192">
        <v>1.6</v>
      </c>
      <c r="V49" s="389">
        <v>3.474</v>
      </c>
      <c r="W49" s="192">
        <v>2.1</v>
      </c>
      <c r="X49" s="192">
        <v>28.95</v>
      </c>
      <c r="Y49" s="381"/>
      <c r="Z49" s="192"/>
      <c r="AA49" s="192">
        <v>28.95</v>
      </c>
    </row>
    <row r="50" spans="1:27" ht="13.5">
      <c r="A50" s="767"/>
      <c r="B50" s="767"/>
      <c r="C50" s="192">
        <v>26</v>
      </c>
      <c r="D50" s="390" t="s">
        <v>142</v>
      </c>
      <c r="E50" s="763"/>
      <c r="F50" s="192" t="s">
        <v>116</v>
      </c>
      <c r="G50" s="391">
        <v>47.03</v>
      </c>
      <c r="H50" s="191"/>
      <c r="I50" s="199">
        <v>627</v>
      </c>
      <c r="J50" s="192"/>
      <c r="K50" s="192"/>
      <c r="L50" s="192"/>
      <c r="M50" s="192"/>
      <c r="N50" s="192"/>
      <c r="O50" s="192"/>
      <c r="P50" s="192"/>
      <c r="Q50" s="192"/>
      <c r="R50" s="192" t="s">
        <v>2091</v>
      </c>
      <c r="S50" s="192" t="s">
        <v>2091</v>
      </c>
      <c r="T50" s="388">
        <v>6.7</v>
      </c>
      <c r="U50" s="192"/>
      <c r="V50" s="389">
        <v>5.643</v>
      </c>
      <c r="W50" s="192"/>
      <c r="X50" s="381">
        <v>53.295</v>
      </c>
      <c r="Y50" s="381"/>
      <c r="Z50" s="192"/>
      <c r="AA50" s="381">
        <v>53.295</v>
      </c>
    </row>
    <row r="51" spans="1:27" ht="13.5">
      <c r="A51" s="767"/>
      <c r="B51" s="767"/>
      <c r="C51" s="192">
        <v>27</v>
      </c>
      <c r="D51" s="195" t="s">
        <v>143</v>
      </c>
      <c r="E51" s="763"/>
      <c r="F51" s="192" t="s">
        <v>111</v>
      </c>
      <c r="G51" s="388">
        <v>92.93</v>
      </c>
      <c r="H51" s="191"/>
      <c r="I51" s="192">
        <v>1239</v>
      </c>
      <c r="J51" s="192"/>
      <c r="K51" s="192"/>
      <c r="L51" s="192"/>
      <c r="M51" s="192"/>
      <c r="N51" s="192"/>
      <c r="O51" s="192"/>
      <c r="P51" s="192"/>
      <c r="Q51" s="192"/>
      <c r="R51" s="192" t="s">
        <v>2091</v>
      </c>
      <c r="S51" s="192" t="s">
        <v>2091</v>
      </c>
      <c r="T51" s="388">
        <v>4.6</v>
      </c>
      <c r="U51" s="192">
        <v>2</v>
      </c>
      <c r="V51" s="389">
        <v>11.151</v>
      </c>
      <c r="W51" s="192">
        <v>4.5</v>
      </c>
      <c r="X51" s="381">
        <v>92.925</v>
      </c>
      <c r="Y51" s="381"/>
      <c r="Z51" s="192"/>
      <c r="AA51" s="381">
        <v>92.925</v>
      </c>
    </row>
    <row r="52" spans="1:27" ht="13.5">
      <c r="A52" s="767"/>
      <c r="B52" s="767"/>
      <c r="C52" s="192">
        <v>28</v>
      </c>
      <c r="D52" s="195" t="s">
        <v>1448</v>
      </c>
      <c r="E52" s="763"/>
      <c r="F52" s="192" t="s">
        <v>111</v>
      </c>
      <c r="G52" s="391">
        <v>28.5</v>
      </c>
      <c r="H52" s="191"/>
      <c r="I52" s="192">
        <v>380</v>
      </c>
      <c r="J52" s="192"/>
      <c r="K52" s="192"/>
      <c r="L52" s="192"/>
      <c r="M52" s="192"/>
      <c r="N52" s="192"/>
      <c r="O52" s="192"/>
      <c r="P52" s="192"/>
      <c r="Q52" s="192"/>
      <c r="R52" s="192" t="s">
        <v>2091</v>
      </c>
      <c r="S52" s="192" t="s">
        <v>2091</v>
      </c>
      <c r="T52" s="388">
        <v>2.3</v>
      </c>
      <c r="U52" s="192">
        <v>2.3</v>
      </c>
      <c r="V52" s="389">
        <v>3.42</v>
      </c>
      <c r="W52" s="192">
        <v>1.5</v>
      </c>
      <c r="X52" s="192">
        <v>28.5</v>
      </c>
      <c r="Y52" s="381"/>
      <c r="Z52" s="192"/>
      <c r="AA52" s="192">
        <v>28.5</v>
      </c>
    </row>
    <row r="53" spans="1:27" ht="13.5">
      <c r="A53" s="767"/>
      <c r="B53" s="767"/>
      <c r="C53" s="192">
        <v>29</v>
      </c>
      <c r="D53" s="195" t="s">
        <v>1449</v>
      </c>
      <c r="E53" s="763"/>
      <c r="F53" s="192" t="s">
        <v>111</v>
      </c>
      <c r="G53" s="391">
        <v>27.45</v>
      </c>
      <c r="H53" s="191"/>
      <c r="I53" s="192">
        <v>366</v>
      </c>
      <c r="J53" s="192"/>
      <c r="K53" s="192"/>
      <c r="L53" s="192"/>
      <c r="M53" s="192"/>
      <c r="N53" s="192"/>
      <c r="O53" s="192"/>
      <c r="P53" s="192"/>
      <c r="Q53" s="192"/>
      <c r="R53" s="192" t="s">
        <v>2091</v>
      </c>
      <c r="S53" s="192" t="s">
        <v>2091</v>
      </c>
      <c r="T53" s="388">
        <v>2.928</v>
      </c>
      <c r="U53" s="192">
        <v>2</v>
      </c>
      <c r="V53" s="389">
        <v>3.294</v>
      </c>
      <c r="W53" s="192">
        <v>1.7</v>
      </c>
      <c r="X53" s="192">
        <v>27.45</v>
      </c>
      <c r="Y53" s="381"/>
      <c r="Z53" s="192"/>
      <c r="AA53" s="192">
        <v>27.45</v>
      </c>
    </row>
    <row r="54" spans="1:27" ht="13.5">
      <c r="A54" s="767"/>
      <c r="B54" s="767"/>
      <c r="C54" s="192">
        <v>30</v>
      </c>
      <c r="D54" s="195" t="s">
        <v>144</v>
      </c>
      <c r="E54" s="763"/>
      <c r="F54" s="192" t="s">
        <v>111</v>
      </c>
      <c r="G54" s="391">
        <v>24.9</v>
      </c>
      <c r="H54" s="191"/>
      <c r="I54" s="192">
        <v>332</v>
      </c>
      <c r="J54" s="192"/>
      <c r="K54" s="192"/>
      <c r="L54" s="192"/>
      <c r="M54" s="192"/>
      <c r="N54" s="192"/>
      <c r="O54" s="192"/>
      <c r="P54" s="192"/>
      <c r="Q54" s="192"/>
      <c r="R54" s="192" t="s">
        <v>2091</v>
      </c>
      <c r="S54" s="192" t="s">
        <v>2091</v>
      </c>
      <c r="T54" s="388">
        <v>2.656</v>
      </c>
      <c r="U54" s="192">
        <v>2</v>
      </c>
      <c r="V54" s="389">
        <v>2.988</v>
      </c>
      <c r="W54" s="192">
        <v>1.4</v>
      </c>
      <c r="X54" s="192">
        <v>24.9</v>
      </c>
      <c r="Y54" s="381"/>
      <c r="Z54" s="192"/>
      <c r="AA54" s="192">
        <v>24.9</v>
      </c>
    </row>
    <row r="55" spans="1:27" ht="13.5">
      <c r="A55" s="767"/>
      <c r="B55" s="767"/>
      <c r="C55" s="192">
        <v>31</v>
      </c>
      <c r="D55" s="195" t="s">
        <v>1450</v>
      </c>
      <c r="E55" s="763"/>
      <c r="F55" s="192" t="s">
        <v>111</v>
      </c>
      <c r="G55" s="381">
        <v>21.375</v>
      </c>
      <c r="H55" s="191"/>
      <c r="I55" s="192">
        <v>285</v>
      </c>
      <c r="J55" s="192"/>
      <c r="K55" s="192"/>
      <c r="L55" s="192"/>
      <c r="M55" s="192"/>
      <c r="N55" s="192"/>
      <c r="O55" s="192"/>
      <c r="P55" s="192"/>
      <c r="Q55" s="192"/>
      <c r="R55" s="192" t="s">
        <v>2091</v>
      </c>
      <c r="S55" s="192" t="s">
        <v>2091</v>
      </c>
      <c r="T55" s="388">
        <v>2.28</v>
      </c>
      <c r="U55" s="192">
        <v>2</v>
      </c>
      <c r="V55" s="389">
        <v>2.565</v>
      </c>
      <c r="W55" s="192">
        <v>1.2</v>
      </c>
      <c r="X55" s="381">
        <v>21.375</v>
      </c>
      <c r="Y55" s="381"/>
      <c r="Z55" s="192"/>
      <c r="AA55" s="381">
        <v>21.375</v>
      </c>
    </row>
    <row r="56" spans="1:27" ht="13.5">
      <c r="A56" s="767"/>
      <c r="B56" s="767"/>
      <c r="C56" s="192">
        <v>32</v>
      </c>
      <c r="D56" s="390" t="s">
        <v>145</v>
      </c>
      <c r="E56" s="763"/>
      <c r="F56" s="192" t="s">
        <v>116</v>
      </c>
      <c r="G56" s="391">
        <v>21.68</v>
      </c>
      <c r="H56" s="191"/>
      <c r="I56" s="193">
        <v>289</v>
      </c>
      <c r="J56" s="192"/>
      <c r="K56" s="192"/>
      <c r="L56" s="192"/>
      <c r="M56" s="192"/>
      <c r="N56" s="192"/>
      <c r="O56" s="192"/>
      <c r="P56" s="192"/>
      <c r="Q56" s="192"/>
      <c r="R56" s="192" t="s">
        <v>2091</v>
      </c>
      <c r="S56" s="192" t="s">
        <v>2091</v>
      </c>
      <c r="T56" s="388">
        <v>2.86</v>
      </c>
      <c r="U56" s="192"/>
      <c r="V56" s="389">
        <v>2.601</v>
      </c>
      <c r="W56" s="192"/>
      <c r="X56" s="381">
        <v>24.565</v>
      </c>
      <c r="Y56" s="381"/>
      <c r="Z56" s="192"/>
      <c r="AA56" s="381">
        <v>24.565</v>
      </c>
    </row>
    <row r="57" spans="1:27" ht="13.5">
      <c r="A57" s="767"/>
      <c r="B57" s="767"/>
      <c r="C57" s="192">
        <v>33</v>
      </c>
      <c r="D57" s="195" t="s">
        <v>1451</v>
      </c>
      <c r="E57" s="763"/>
      <c r="F57" s="192" t="s">
        <v>116</v>
      </c>
      <c r="G57" s="391">
        <v>21.45</v>
      </c>
      <c r="H57" s="191"/>
      <c r="I57" s="192">
        <v>286</v>
      </c>
      <c r="J57" s="192"/>
      <c r="K57" s="192"/>
      <c r="L57" s="192"/>
      <c r="M57" s="192"/>
      <c r="N57" s="192"/>
      <c r="O57" s="192"/>
      <c r="P57" s="192"/>
      <c r="Q57" s="192"/>
      <c r="R57" s="192" t="s">
        <v>2091</v>
      </c>
      <c r="S57" s="192" t="s">
        <v>2091</v>
      </c>
      <c r="T57" s="388">
        <v>2.288</v>
      </c>
      <c r="U57" s="192"/>
      <c r="V57" s="389">
        <v>2.574</v>
      </c>
      <c r="W57" s="192"/>
      <c r="X57" s="192">
        <v>24.31</v>
      </c>
      <c r="Y57" s="381"/>
      <c r="Z57" s="192"/>
      <c r="AA57" s="192">
        <v>24.31</v>
      </c>
    </row>
    <row r="58" spans="1:27" ht="13.5">
      <c r="A58" s="767"/>
      <c r="B58" s="767"/>
      <c r="C58" s="192">
        <v>34</v>
      </c>
      <c r="D58" s="195" t="s">
        <v>1452</v>
      </c>
      <c r="E58" s="763"/>
      <c r="F58" s="192" t="s">
        <v>116</v>
      </c>
      <c r="G58" s="388">
        <v>20.775</v>
      </c>
      <c r="H58" s="191"/>
      <c r="I58" s="192">
        <v>277</v>
      </c>
      <c r="J58" s="192"/>
      <c r="K58" s="192"/>
      <c r="L58" s="192"/>
      <c r="M58" s="192"/>
      <c r="N58" s="192"/>
      <c r="O58" s="192"/>
      <c r="P58" s="192"/>
      <c r="Q58" s="192"/>
      <c r="R58" s="192" t="s">
        <v>2091</v>
      </c>
      <c r="S58" s="192" t="s">
        <v>2091</v>
      </c>
      <c r="T58" s="388">
        <v>2.216</v>
      </c>
      <c r="U58" s="192"/>
      <c r="V58" s="389">
        <v>2.493</v>
      </c>
      <c r="W58" s="192"/>
      <c r="X58" s="381">
        <v>23.545</v>
      </c>
      <c r="Y58" s="381"/>
      <c r="Z58" s="192"/>
      <c r="AA58" s="381">
        <v>23.545</v>
      </c>
    </row>
    <row r="59" spans="1:27" ht="13.5">
      <c r="A59" s="767"/>
      <c r="B59" s="767"/>
      <c r="C59" s="192">
        <v>35</v>
      </c>
      <c r="D59" s="195" t="s">
        <v>1453</v>
      </c>
      <c r="E59" s="763"/>
      <c r="F59" s="192" t="s">
        <v>116</v>
      </c>
      <c r="G59" s="391">
        <v>21.45</v>
      </c>
      <c r="H59" s="191"/>
      <c r="I59" s="192">
        <v>286</v>
      </c>
      <c r="J59" s="192"/>
      <c r="K59" s="192"/>
      <c r="L59" s="192"/>
      <c r="M59" s="192"/>
      <c r="N59" s="192"/>
      <c r="O59" s="192"/>
      <c r="P59" s="192"/>
      <c r="Q59" s="192"/>
      <c r="R59" s="192" t="s">
        <v>2091</v>
      </c>
      <c r="S59" s="192" t="s">
        <v>2091</v>
      </c>
      <c r="T59" s="388">
        <v>2.288</v>
      </c>
      <c r="U59" s="192"/>
      <c r="V59" s="389">
        <v>2.574</v>
      </c>
      <c r="W59" s="192"/>
      <c r="X59" s="192">
        <v>24.31</v>
      </c>
      <c r="Y59" s="381"/>
      <c r="Z59" s="192"/>
      <c r="AA59" s="192">
        <v>24.31</v>
      </c>
    </row>
    <row r="60" spans="1:27" ht="13.5">
      <c r="A60" s="767"/>
      <c r="B60" s="767"/>
      <c r="C60" s="192">
        <v>36</v>
      </c>
      <c r="D60" s="195" t="s">
        <v>1454</v>
      </c>
      <c r="E60" s="763"/>
      <c r="F60" s="192" t="s">
        <v>116</v>
      </c>
      <c r="G60" s="388">
        <v>21.225</v>
      </c>
      <c r="H60" s="191"/>
      <c r="I60" s="192">
        <v>283</v>
      </c>
      <c r="J60" s="192"/>
      <c r="K60" s="192"/>
      <c r="L60" s="192"/>
      <c r="M60" s="192"/>
      <c r="N60" s="192"/>
      <c r="O60" s="192"/>
      <c r="P60" s="192"/>
      <c r="Q60" s="192"/>
      <c r="R60" s="192" t="s">
        <v>2091</v>
      </c>
      <c r="S60" s="192" t="s">
        <v>2091</v>
      </c>
      <c r="T60" s="388">
        <v>2.264</v>
      </c>
      <c r="U60" s="192"/>
      <c r="V60" s="389">
        <v>2.547</v>
      </c>
      <c r="W60" s="192"/>
      <c r="X60" s="381">
        <v>24.055</v>
      </c>
      <c r="Y60" s="381"/>
      <c r="Z60" s="192"/>
      <c r="AA60" s="381">
        <v>24.055</v>
      </c>
    </row>
    <row r="61" spans="1:27" ht="13.5">
      <c r="A61" s="767"/>
      <c r="B61" s="767"/>
      <c r="C61" s="192">
        <v>37</v>
      </c>
      <c r="D61" s="195" t="s">
        <v>1455</v>
      </c>
      <c r="E61" s="763"/>
      <c r="F61" s="192" t="s">
        <v>116</v>
      </c>
      <c r="G61" s="388">
        <v>34.875</v>
      </c>
      <c r="H61" s="191"/>
      <c r="I61" s="192">
        <v>465</v>
      </c>
      <c r="J61" s="192"/>
      <c r="K61" s="192"/>
      <c r="L61" s="192"/>
      <c r="M61" s="192"/>
      <c r="N61" s="192"/>
      <c r="O61" s="192"/>
      <c r="P61" s="192"/>
      <c r="Q61" s="192"/>
      <c r="R61" s="192" t="s">
        <v>2091</v>
      </c>
      <c r="S61" s="192" t="s">
        <v>2091</v>
      </c>
      <c r="T61" s="388">
        <v>3.72</v>
      </c>
      <c r="U61" s="192"/>
      <c r="V61" s="389">
        <v>4.185</v>
      </c>
      <c r="W61" s="192"/>
      <c r="X61" s="381">
        <v>39.525</v>
      </c>
      <c r="Y61" s="381"/>
      <c r="Z61" s="192"/>
      <c r="AA61" s="381">
        <v>39.525</v>
      </c>
    </row>
    <row r="62" spans="1:27" ht="13.5">
      <c r="A62" s="767"/>
      <c r="B62" s="767"/>
      <c r="C62" s="192">
        <v>38</v>
      </c>
      <c r="D62" s="390" t="s">
        <v>1304</v>
      </c>
      <c r="E62" s="763"/>
      <c r="F62" s="192" t="s">
        <v>116</v>
      </c>
      <c r="G62" s="388">
        <v>25.875</v>
      </c>
      <c r="H62" s="191"/>
      <c r="I62" s="199">
        <v>345</v>
      </c>
      <c r="J62" s="192"/>
      <c r="K62" s="192"/>
      <c r="L62" s="192"/>
      <c r="M62" s="192"/>
      <c r="N62" s="192"/>
      <c r="O62" s="192"/>
      <c r="P62" s="192"/>
      <c r="Q62" s="192"/>
      <c r="R62" s="192" t="s">
        <v>2091</v>
      </c>
      <c r="S62" s="192" t="s">
        <v>2091</v>
      </c>
      <c r="T62" s="388">
        <v>3.5</v>
      </c>
      <c r="U62" s="192"/>
      <c r="V62" s="389">
        <v>3.105</v>
      </c>
      <c r="W62" s="192"/>
      <c r="X62" s="381">
        <v>29.325</v>
      </c>
      <c r="Y62" s="381"/>
      <c r="Z62" s="192"/>
      <c r="AA62" s="381">
        <v>29.325</v>
      </c>
    </row>
    <row r="63" spans="1:27" ht="13.5">
      <c r="A63" s="767"/>
      <c r="B63" s="767"/>
      <c r="C63" s="192">
        <v>39</v>
      </c>
      <c r="D63" s="390" t="s">
        <v>1456</v>
      </c>
      <c r="E63" s="763"/>
      <c r="F63" s="192" t="s">
        <v>111</v>
      </c>
      <c r="G63" s="391">
        <v>25.35</v>
      </c>
      <c r="H63" s="191"/>
      <c r="I63" s="199">
        <v>338</v>
      </c>
      <c r="J63" s="192"/>
      <c r="K63" s="192"/>
      <c r="L63" s="192"/>
      <c r="M63" s="192"/>
      <c r="N63" s="192"/>
      <c r="O63" s="192"/>
      <c r="P63" s="192"/>
      <c r="Q63" s="192"/>
      <c r="R63" s="192" t="s">
        <v>2091</v>
      </c>
      <c r="S63" s="192" t="s">
        <v>2091</v>
      </c>
      <c r="T63" s="388">
        <v>3.2</v>
      </c>
      <c r="U63" s="192">
        <v>3.2</v>
      </c>
      <c r="V63" s="389">
        <v>3.042</v>
      </c>
      <c r="W63" s="192">
        <v>2.3</v>
      </c>
      <c r="X63" s="192">
        <v>25.35</v>
      </c>
      <c r="Y63" s="381"/>
      <c r="Z63" s="192"/>
      <c r="AA63" s="192">
        <v>25.35</v>
      </c>
    </row>
    <row r="64" spans="1:27" ht="13.5">
      <c r="A64" s="767"/>
      <c r="B64" s="767"/>
      <c r="C64" s="192">
        <v>40</v>
      </c>
      <c r="D64" s="195" t="s">
        <v>146</v>
      </c>
      <c r="E64" s="763"/>
      <c r="F64" s="192" t="s">
        <v>116</v>
      </c>
      <c r="G64" s="391">
        <v>30.75</v>
      </c>
      <c r="H64" s="191"/>
      <c r="I64" s="192">
        <v>410</v>
      </c>
      <c r="J64" s="192"/>
      <c r="K64" s="192"/>
      <c r="L64" s="192"/>
      <c r="M64" s="192"/>
      <c r="N64" s="192"/>
      <c r="O64" s="192"/>
      <c r="P64" s="192"/>
      <c r="Q64" s="192"/>
      <c r="R64" s="192" t="s">
        <v>2091</v>
      </c>
      <c r="S64" s="192" t="s">
        <v>2091</v>
      </c>
      <c r="T64" s="388">
        <v>5.6</v>
      </c>
      <c r="U64" s="192"/>
      <c r="V64" s="389">
        <v>3.69</v>
      </c>
      <c r="W64" s="192"/>
      <c r="X64" s="192">
        <v>34.85</v>
      </c>
      <c r="Y64" s="381"/>
      <c r="Z64" s="192"/>
      <c r="AA64" s="192">
        <v>34.85</v>
      </c>
    </row>
    <row r="65" spans="1:27" ht="13.5">
      <c r="A65" s="767"/>
      <c r="B65" s="767"/>
      <c r="C65" s="192">
        <v>41</v>
      </c>
      <c r="D65" s="390" t="s">
        <v>147</v>
      </c>
      <c r="E65" s="763"/>
      <c r="F65" s="192" t="s">
        <v>116</v>
      </c>
      <c r="G65" s="391">
        <v>21.15</v>
      </c>
      <c r="H65" s="191"/>
      <c r="I65" s="199">
        <v>282</v>
      </c>
      <c r="J65" s="192"/>
      <c r="K65" s="192"/>
      <c r="L65" s="192"/>
      <c r="M65" s="192"/>
      <c r="N65" s="192"/>
      <c r="O65" s="192"/>
      <c r="P65" s="192"/>
      <c r="Q65" s="192"/>
      <c r="R65" s="192" t="s">
        <v>2091</v>
      </c>
      <c r="S65" s="192" t="s">
        <v>2091</v>
      </c>
      <c r="T65" s="388">
        <v>2.256</v>
      </c>
      <c r="U65" s="192"/>
      <c r="V65" s="389">
        <v>2.538</v>
      </c>
      <c r="W65" s="192"/>
      <c r="X65" s="192">
        <v>23.97</v>
      </c>
      <c r="Y65" s="381"/>
      <c r="Z65" s="192"/>
      <c r="AA65" s="192">
        <v>23.97</v>
      </c>
    </row>
    <row r="66" spans="1:27" ht="13.5">
      <c r="A66" s="767"/>
      <c r="B66" s="767"/>
      <c r="C66" s="192">
        <v>42</v>
      </c>
      <c r="D66" s="390" t="s">
        <v>148</v>
      </c>
      <c r="E66" s="763"/>
      <c r="F66" s="192" t="s">
        <v>116</v>
      </c>
      <c r="G66" s="391">
        <v>29.55</v>
      </c>
      <c r="H66" s="191"/>
      <c r="I66" s="199">
        <v>394</v>
      </c>
      <c r="J66" s="192"/>
      <c r="K66" s="192"/>
      <c r="L66" s="192"/>
      <c r="M66" s="192"/>
      <c r="N66" s="192"/>
      <c r="O66" s="192"/>
      <c r="P66" s="192"/>
      <c r="Q66" s="192"/>
      <c r="R66" s="192" t="s">
        <v>2091</v>
      </c>
      <c r="S66" s="192" t="s">
        <v>2091</v>
      </c>
      <c r="T66" s="388">
        <v>2.35</v>
      </c>
      <c r="U66" s="192"/>
      <c r="V66" s="389">
        <v>3.546</v>
      </c>
      <c r="W66" s="192"/>
      <c r="X66" s="192">
        <v>33.49</v>
      </c>
      <c r="Y66" s="381"/>
      <c r="Z66" s="192"/>
      <c r="AA66" s="192">
        <v>33.49</v>
      </c>
    </row>
    <row r="67" spans="1:27" ht="13.5">
      <c r="A67" s="767"/>
      <c r="B67" s="767"/>
      <c r="C67" s="192">
        <v>43</v>
      </c>
      <c r="D67" s="390" t="s">
        <v>149</v>
      </c>
      <c r="E67" s="764"/>
      <c r="F67" s="192" t="s">
        <v>116</v>
      </c>
      <c r="G67" s="391">
        <v>26.4</v>
      </c>
      <c r="H67" s="191"/>
      <c r="I67" s="199">
        <v>352</v>
      </c>
      <c r="J67" s="192"/>
      <c r="K67" s="381"/>
      <c r="L67" s="192"/>
      <c r="M67" s="192"/>
      <c r="N67" s="192"/>
      <c r="O67" s="192"/>
      <c r="P67" s="192"/>
      <c r="Q67" s="381"/>
      <c r="R67" s="192" t="s">
        <v>2091</v>
      </c>
      <c r="S67" s="192" t="s">
        <v>2091</v>
      </c>
      <c r="T67" s="388">
        <v>2.62</v>
      </c>
      <c r="U67" s="192"/>
      <c r="V67" s="389">
        <v>3.168</v>
      </c>
      <c r="W67" s="192"/>
      <c r="X67" s="192">
        <v>29.92</v>
      </c>
      <c r="Y67" s="381"/>
      <c r="Z67" s="192"/>
      <c r="AA67" s="192">
        <v>29.92</v>
      </c>
    </row>
    <row r="68" spans="1:27" ht="21">
      <c r="A68" s="767"/>
      <c r="B68" s="767"/>
      <c r="C68" s="386" t="s">
        <v>150</v>
      </c>
      <c r="D68" s="392">
        <v>62</v>
      </c>
      <c r="E68" s="377">
        <v>1</v>
      </c>
      <c r="F68" s="377"/>
      <c r="G68" s="378">
        <f>SUM(G69:G130)</f>
        <v>1894.4500000000007</v>
      </c>
      <c r="H68" s="378"/>
      <c r="I68" s="393">
        <f>I69+I70+I71+I72+I73+I74+I75+I76+I77+I78+I79+I80+I81+I82+I83+I84+I85+I86+I87+I88+I89+I90+I91+I92+I93+I94+I95+I96+I97+I98+I99+I100+I101+I102+I103+I104+I105+I106+I107+I108+I109+I110+I111+I112+I113+I114+I115+I116+I117+I118+I119+I120+I121+I122+I123+I124+I125+I126+I127+I128+I129+I130</f>
        <v>22447</v>
      </c>
      <c r="J68" s="378"/>
      <c r="K68" s="378"/>
      <c r="L68" s="378"/>
      <c r="M68" s="378"/>
      <c r="N68" s="378"/>
      <c r="O68" s="378"/>
      <c r="P68" s="378"/>
      <c r="Q68" s="378"/>
      <c r="R68" s="192" t="s">
        <v>2091</v>
      </c>
      <c r="S68" s="192" t="s">
        <v>2091</v>
      </c>
      <c r="T68" s="378">
        <f>SUM(T69:T130)</f>
        <v>103.16000000000004</v>
      </c>
      <c r="U68" s="378">
        <f>SUM(U69:U130)</f>
        <v>86.99999999999999</v>
      </c>
      <c r="V68" s="378">
        <f>SUM(V69:V130)</f>
        <v>101.7</v>
      </c>
      <c r="W68" s="378">
        <f>SUM(W69:W130)</f>
        <v>84.70000000000002</v>
      </c>
      <c r="X68" s="378">
        <f>SUM(X69:X130)</f>
        <v>1638.8799999999997</v>
      </c>
      <c r="Y68" s="378"/>
      <c r="Z68" s="378"/>
      <c r="AA68" s="378">
        <f>SUM(AA69:AA130)</f>
        <v>1638.8799999999997</v>
      </c>
    </row>
    <row r="69" spans="1:27" ht="13.5">
      <c r="A69" s="767"/>
      <c r="B69" s="767"/>
      <c r="C69" s="194">
        <v>1</v>
      </c>
      <c r="D69" s="394" t="s">
        <v>151</v>
      </c>
      <c r="E69" s="762" t="s">
        <v>152</v>
      </c>
      <c r="F69" s="192" t="s">
        <v>111</v>
      </c>
      <c r="G69" s="388">
        <v>90.65</v>
      </c>
      <c r="H69" s="532"/>
      <c r="I69" s="199">
        <v>1080</v>
      </c>
      <c r="J69" s="192"/>
      <c r="K69" s="192"/>
      <c r="L69" s="192"/>
      <c r="M69" s="192"/>
      <c r="N69" s="192"/>
      <c r="O69" s="192"/>
      <c r="P69" s="192"/>
      <c r="Q69" s="192"/>
      <c r="R69" s="192" t="s">
        <v>2091</v>
      </c>
      <c r="S69" s="192" t="s">
        <v>2091</v>
      </c>
      <c r="T69" s="388">
        <v>2.16</v>
      </c>
      <c r="U69" s="388">
        <v>1.8</v>
      </c>
      <c r="V69" s="388">
        <v>1.6</v>
      </c>
      <c r="W69" s="388">
        <v>1.5</v>
      </c>
      <c r="X69" s="382">
        <v>30.08</v>
      </c>
      <c r="Y69" s="382"/>
      <c r="Z69" s="382"/>
      <c r="AA69" s="382">
        <v>30.08</v>
      </c>
    </row>
    <row r="70" spans="1:27" ht="13.5">
      <c r="A70" s="767"/>
      <c r="B70" s="767"/>
      <c r="C70" s="194">
        <v>2</v>
      </c>
      <c r="D70" s="193" t="s">
        <v>153</v>
      </c>
      <c r="E70" s="763"/>
      <c r="F70" s="192" t="s">
        <v>111</v>
      </c>
      <c r="G70" s="395">
        <v>60.45</v>
      </c>
      <c r="H70" s="532"/>
      <c r="I70" s="193">
        <v>736</v>
      </c>
      <c r="J70" s="192"/>
      <c r="K70" s="192"/>
      <c r="L70" s="192"/>
      <c r="M70" s="192"/>
      <c r="N70" s="192"/>
      <c r="O70" s="192"/>
      <c r="P70" s="192"/>
      <c r="Q70" s="192"/>
      <c r="R70" s="192" t="s">
        <v>2091</v>
      </c>
      <c r="S70" s="192" t="s">
        <v>2091</v>
      </c>
      <c r="T70" s="388">
        <v>1.9</v>
      </c>
      <c r="U70" s="388">
        <v>1.5</v>
      </c>
      <c r="V70" s="388">
        <v>2.4</v>
      </c>
      <c r="W70" s="388">
        <v>2</v>
      </c>
      <c r="X70" s="382">
        <v>34.4</v>
      </c>
      <c r="Y70" s="382"/>
      <c r="Z70" s="382"/>
      <c r="AA70" s="382">
        <v>34.4</v>
      </c>
    </row>
    <row r="71" spans="1:27" ht="13.5">
      <c r="A71" s="767"/>
      <c r="B71" s="767"/>
      <c r="C71" s="194">
        <v>3</v>
      </c>
      <c r="D71" s="193" t="s">
        <v>154</v>
      </c>
      <c r="E71" s="763"/>
      <c r="F71" s="192" t="s">
        <v>111</v>
      </c>
      <c r="G71" s="395">
        <v>40.5</v>
      </c>
      <c r="H71" s="532"/>
      <c r="I71" s="193">
        <v>516</v>
      </c>
      <c r="J71" s="192"/>
      <c r="K71" s="192"/>
      <c r="L71" s="192"/>
      <c r="M71" s="192"/>
      <c r="N71" s="192"/>
      <c r="O71" s="192"/>
      <c r="P71" s="192"/>
      <c r="Q71" s="192"/>
      <c r="R71" s="192" t="s">
        <v>2091</v>
      </c>
      <c r="S71" s="192" t="s">
        <v>2091</v>
      </c>
      <c r="T71" s="388">
        <v>1.7</v>
      </c>
      <c r="U71" s="388">
        <v>1.5</v>
      </c>
      <c r="V71" s="388">
        <v>1.5</v>
      </c>
      <c r="W71" s="388">
        <v>1</v>
      </c>
      <c r="X71" s="382">
        <v>25.6</v>
      </c>
      <c r="Y71" s="382"/>
      <c r="Z71" s="382"/>
      <c r="AA71" s="382">
        <v>25.6</v>
      </c>
    </row>
    <row r="72" spans="1:27" ht="13.5">
      <c r="A72" s="767"/>
      <c r="B72" s="767"/>
      <c r="C72" s="194">
        <v>4</v>
      </c>
      <c r="D72" s="193" t="s">
        <v>155</v>
      </c>
      <c r="E72" s="763"/>
      <c r="F72" s="192" t="s">
        <v>111</v>
      </c>
      <c r="G72" s="388">
        <v>60.2</v>
      </c>
      <c r="H72" s="532"/>
      <c r="I72" s="193">
        <v>777</v>
      </c>
      <c r="J72" s="192"/>
      <c r="K72" s="192"/>
      <c r="L72" s="192"/>
      <c r="M72" s="192"/>
      <c r="N72" s="192"/>
      <c r="O72" s="192"/>
      <c r="P72" s="192"/>
      <c r="Q72" s="192"/>
      <c r="R72" s="192" t="s">
        <v>2091</v>
      </c>
      <c r="S72" s="192" t="s">
        <v>2091</v>
      </c>
      <c r="T72" s="388">
        <v>1.6</v>
      </c>
      <c r="U72" s="388">
        <v>1</v>
      </c>
      <c r="V72" s="388">
        <v>1.7</v>
      </c>
      <c r="W72" s="388">
        <v>1</v>
      </c>
      <c r="X72" s="382">
        <v>26.4</v>
      </c>
      <c r="Y72" s="382"/>
      <c r="Z72" s="382"/>
      <c r="AA72" s="382">
        <v>26.4</v>
      </c>
    </row>
    <row r="73" spans="1:27" ht="13.5">
      <c r="A73" s="767"/>
      <c r="B73" s="767"/>
      <c r="C73" s="194">
        <v>5</v>
      </c>
      <c r="D73" s="193" t="s">
        <v>156</v>
      </c>
      <c r="E73" s="763"/>
      <c r="F73" s="192" t="s">
        <v>111</v>
      </c>
      <c r="G73" s="395">
        <v>20.5</v>
      </c>
      <c r="H73" s="532"/>
      <c r="I73" s="192">
        <v>214</v>
      </c>
      <c r="J73" s="192"/>
      <c r="K73" s="192"/>
      <c r="L73" s="192"/>
      <c r="M73" s="192"/>
      <c r="N73" s="192"/>
      <c r="O73" s="192"/>
      <c r="P73" s="192"/>
      <c r="Q73" s="192"/>
      <c r="R73" s="192" t="s">
        <v>2091</v>
      </c>
      <c r="S73" s="192" t="s">
        <v>2091</v>
      </c>
      <c r="T73" s="388">
        <v>2.5</v>
      </c>
      <c r="U73" s="388">
        <v>2</v>
      </c>
      <c r="V73" s="388">
        <v>2.1</v>
      </c>
      <c r="W73" s="388">
        <v>2</v>
      </c>
      <c r="X73" s="382">
        <v>36.8</v>
      </c>
      <c r="Y73" s="382"/>
      <c r="Z73" s="382"/>
      <c r="AA73" s="382">
        <v>36.8</v>
      </c>
    </row>
    <row r="74" spans="1:27" ht="13.5">
      <c r="A74" s="767"/>
      <c r="B74" s="767"/>
      <c r="C74" s="194">
        <v>6</v>
      </c>
      <c r="D74" s="193" t="s">
        <v>157</v>
      </c>
      <c r="E74" s="763"/>
      <c r="F74" s="192" t="s">
        <v>111</v>
      </c>
      <c r="G74" s="388">
        <v>40.5</v>
      </c>
      <c r="H74" s="532"/>
      <c r="I74" s="192">
        <v>483</v>
      </c>
      <c r="J74" s="192"/>
      <c r="K74" s="192"/>
      <c r="L74" s="192"/>
      <c r="M74" s="192"/>
      <c r="N74" s="192"/>
      <c r="O74" s="192"/>
      <c r="P74" s="192"/>
      <c r="Q74" s="192"/>
      <c r="R74" s="192" t="s">
        <v>2091</v>
      </c>
      <c r="S74" s="192" t="s">
        <v>2091</v>
      </c>
      <c r="T74" s="388">
        <v>2.6</v>
      </c>
      <c r="U74" s="388">
        <v>2.5</v>
      </c>
      <c r="V74" s="388">
        <v>2.7</v>
      </c>
      <c r="W74" s="388">
        <v>2</v>
      </c>
      <c r="X74" s="382">
        <v>42.4</v>
      </c>
      <c r="Y74" s="382"/>
      <c r="Z74" s="382"/>
      <c r="AA74" s="382">
        <v>42.4</v>
      </c>
    </row>
    <row r="75" spans="1:27" ht="13.5">
      <c r="A75" s="767"/>
      <c r="B75" s="767"/>
      <c r="C75" s="194">
        <v>7</v>
      </c>
      <c r="D75" s="193" t="s">
        <v>158</v>
      </c>
      <c r="E75" s="763"/>
      <c r="F75" s="192" t="s">
        <v>111</v>
      </c>
      <c r="G75" s="388">
        <v>25.5</v>
      </c>
      <c r="H75" s="532"/>
      <c r="I75" s="192">
        <v>278</v>
      </c>
      <c r="J75" s="192"/>
      <c r="K75" s="192"/>
      <c r="L75" s="192"/>
      <c r="M75" s="192"/>
      <c r="N75" s="192"/>
      <c r="O75" s="192"/>
      <c r="P75" s="192"/>
      <c r="Q75" s="192"/>
      <c r="R75" s="192" t="s">
        <v>2091</v>
      </c>
      <c r="S75" s="192" t="s">
        <v>2091</v>
      </c>
      <c r="T75" s="388">
        <v>3.1</v>
      </c>
      <c r="U75" s="388">
        <v>2.5</v>
      </c>
      <c r="V75" s="388">
        <v>1.6</v>
      </c>
      <c r="W75" s="388">
        <v>1</v>
      </c>
      <c r="X75" s="382">
        <v>37.6</v>
      </c>
      <c r="Y75" s="382"/>
      <c r="Z75" s="382"/>
      <c r="AA75" s="382">
        <v>37.6</v>
      </c>
    </row>
    <row r="76" spans="1:27" ht="13.5">
      <c r="A76" s="767"/>
      <c r="B76" s="767"/>
      <c r="C76" s="194">
        <v>8</v>
      </c>
      <c r="D76" s="193" t="s">
        <v>159</v>
      </c>
      <c r="E76" s="763"/>
      <c r="F76" s="192" t="s">
        <v>111</v>
      </c>
      <c r="G76" s="388">
        <v>30.5</v>
      </c>
      <c r="H76" s="532"/>
      <c r="I76" s="192">
        <v>342</v>
      </c>
      <c r="J76" s="192"/>
      <c r="K76" s="192"/>
      <c r="L76" s="192"/>
      <c r="M76" s="192"/>
      <c r="N76" s="192"/>
      <c r="O76" s="192"/>
      <c r="P76" s="192"/>
      <c r="Q76" s="192"/>
      <c r="R76" s="192" t="s">
        <v>2091</v>
      </c>
      <c r="S76" s="192" t="s">
        <v>2091</v>
      </c>
      <c r="T76" s="388">
        <v>0.5</v>
      </c>
      <c r="U76" s="388">
        <v>0.4</v>
      </c>
      <c r="V76" s="388">
        <v>1.1</v>
      </c>
      <c r="W76" s="388">
        <v>1</v>
      </c>
      <c r="X76" s="382">
        <v>12.8</v>
      </c>
      <c r="Y76" s="382"/>
      <c r="Z76" s="382"/>
      <c r="AA76" s="382">
        <v>12.8</v>
      </c>
    </row>
    <row r="77" spans="1:27" ht="13.5">
      <c r="A77" s="767"/>
      <c r="B77" s="767"/>
      <c r="C77" s="194">
        <v>9</v>
      </c>
      <c r="D77" s="193" t="s">
        <v>160</v>
      </c>
      <c r="E77" s="763"/>
      <c r="F77" s="192" t="s">
        <v>111</v>
      </c>
      <c r="G77" s="388">
        <v>20.5</v>
      </c>
      <c r="H77" s="532"/>
      <c r="I77" s="192">
        <v>237</v>
      </c>
      <c r="J77" s="192"/>
      <c r="K77" s="192"/>
      <c r="L77" s="192"/>
      <c r="M77" s="192"/>
      <c r="N77" s="192"/>
      <c r="O77" s="192"/>
      <c r="P77" s="192"/>
      <c r="Q77" s="192"/>
      <c r="R77" s="192" t="s">
        <v>2091</v>
      </c>
      <c r="S77" s="192" t="s">
        <v>2091</v>
      </c>
      <c r="T77" s="388">
        <v>1.4</v>
      </c>
      <c r="U77" s="388">
        <v>1</v>
      </c>
      <c r="V77" s="388">
        <v>1.5</v>
      </c>
      <c r="W77" s="388">
        <v>1</v>
      </c>
      <c r="X77" s="382">
        <v>23.2</v>
      </c>
      <c r="Y77" s="382"/>
      <c r="Z77" s="382"/>
      <c r="AA77" s="382">
        <v>23.2</v>
      </c>
    </row>
    <row r="78" spans="1:27" ht="13.5">
      <c r="A78" s="767"/>
      <c r="B78" s="767"/>
      <c r="C78" s="194">
        <v>10</v>
      </c>
      <c r="D78" s="193" t="s">
        <v>161</v>
      </c>
      <c r="E78" s="763"/>
      <c r="F78" s="192" t="s">
        <v>111</v>
      </c>
      <c r="G78" s="388">
        <v>20.48</v>
      </c>
      <c r="H78" s="532"/>
      <c r="I78" s="192">
        <v>247</v>
      </c>
      <c r="J78" s="192"/>
      <c r="K78" s="192"/>
      <c r="L78" s="192"/>
      <c r="M78" s="192"/>
      <c r="N78" s="192"/>
      <c r="O78" s="192"/>
      <c r="P78" s="192"/>
      <c r="Q78" s="192"/>
      <c r="R78" s="192" t="s">
        <v>2091</v>
      </c>
      <c r="S78" s="192" t="s">
        <v>2091</v>
      </c>
      <c r="T78" s="388">
        <v>0.5</v>
      </c>
      <c r="U78" s="388">
        <v>0.4</v>
      </c>
      <c r="V78" s="388">
        <v>1.3</v>
      </c>
      <c r="W78" s="388">
        <v>1.3</v>
      </c>
      <c r="X78" s="382">
        <v>14.4</v>
      </c>
      <c r="Y78" s="382"/>
      <c r="Z78" s="382"/>
      <c r="AA78" s="382">
        <v>14.4</v>
      </c>
    </row>
    <row r="79" spans="1:27" ht="13.5">
      <c r="A79" s="767"/>
      <c r="B79" s="767"/>
      <c r="C79" s="194">
        <v>11</v>
      </c>
      <c r="D79" s="193" t="s">
        <v>162</v>
      </c>
      <c r="E79" s="763"/>
      <c r="F79" s="192" t="s">
        <v>111</v>
      </c>
      <c r="G79" s="395">
        <v>21.6</v>
      </c>
      <c r="H79" s="532"/>
      <c r="I79" s="192">
        <v>245</v>
      </c>
      <c r="J79" s="192"/>
      <c r="K79" s="192"/>
      <c r="L79" s="192"/>
      <c r="M79" s="192"/>
      <c r="N79" s="192"/>
      <c r="O79" s="192"/>
      <c r="P79" s="192"/>
      <c r="Q79" s="192"/>
      <c r="R79" s="192" t="s">
        <v>2091</v>
      </c>
      <c r="S79" s="192" t="s">
        <v>2091</v>
      </c>
      <c r="T79" s="388">
        <v>1</v>
      </c>
      <c r="U79" s="388">
        <v>1</v>
      </c>
      <c r="V79" s="388">
        <v>1.3</v>
      </c>
      <c r="W79" s="388">
        <v>1</v>
      </c>
      <c r="X79" s="382">
        <v>18.4</v>
      </c>
      <c r="Y79" s="382"/>
      <c r="Z79" s="382"/>
      <c r="AA79" s="382">
        <v>18.4</v>
      </c>
    </row>
    <row r="80" spans="1:27" ht="13.5">
      <c r="A80" s="767"/>
      <c r="B80" s="767"/>
      <c r="C80" s="194">
        <v>12</v>
      </c>
      <c r="D80" s="193" t="s">
        <v>163</v>
      </c>
      <c r="E80" s="763"/>
      <c r="F80" s="192" t="s">
        <v>111</v>
      </c>
      <c r="G80" s="391">
        <v>25.5</v>
      </c>
      <c r="H80" s="532"/>
      <c r="I80" s="192">
        <v>287</v>
      </c>
      <c r="J80" s="192"/>
      <c r="K80" s="192"/>
      <c r="L80" s="192"/>
      <c r="M80" s="192"/>
      <c r="N80" s="192"/>
      <c r="O80" s="192"/>
      <c r="P80" s="192"/>
      <c r="Q80" s="192"/>
      <c r="R80" s="192" t="s">
        <v>2091</v>
      </c>
      <c r="S80" s="192" t="s">
        <v>2091</v>
      </c>
      <c r="T80" s="388">
        <v>0.3</v>
      </c>
      <c r="U80" s="388">
        <v>0.3</v>
      </c>
      <c r="V80" s="388">
        <v>1.2</v>
      </c>
      <c r="W80" s="388">
        <v>1.6</v>
      </c>
      <c r="X80" s="382">
        <v>12</v>
      </c>
      <c r="Y80" s="382"/>
      <c r="Z80" s="382"/>
      <c r="AA80" s="382">
        <v>12</v>
      </c>
    </row>
    <row r="81" spans="1:27" ht="13.5">
      <c r="A81" s="767"/>
      <c r="B81" s="767"/>
      <c r="C81" s="194">
        <v>13</v>
      </c>
      <c r="D81" s="394" t="s">
        <v>164</v>
      </c>
      <c r="E81" s="763"/>
      <c r="F81" s="192" t="s">
        <v>111</v>
      </c>
      <c r="G81" s="388">
        <v>25.5</v>
      </c>
      <c r="H81" s="532"/>
      <c r="I81" s="199">
        <v>314</v>
      </c>
      <c r="J81" s="192"/>
      <c r="K81" s="192"/>
      <c r="L81" s="192"/>
      <c r="M81" s="192"/>
      <c r="N81" s="192"/>
      <c r="O81" s="192"/>
      <c r="P81" s="192"/>
      <c r="Q81" s="192"/>
      <c r="R81" s="192" t="s">
        <v>2091</v>
      </c>
      <c r="S81" s="192" t="s">
        <v>2091</v>
      </c>
      <c r="T81" s="388">
        <v>1.2</v>
      </c>
      <c r="U81" s="388">
        <v>1</v>
      </c>
      <c r="V81" s="388">
        <v>1.3</v>
      </c>
      <c r="W81" s="388">
        <v>1</v>
      </c>
      <c r="X81" s="382">
        <v>20</v>
      </c>
      <c r="Y81" s="382"/>
      <c r="Z81" s="382"/>
      <c r="AA81" s="382">
        <v>20</v>
      </c>
    </row>
    <row r="82" spans="1:27" ht="13.5">
      <c r="A82" s="767"/>
      <c r="B82" s="767"/>
      <c r="C82" s="194">
        <v>14</v>
      </c>
      <c r="D82" s="394" t="s">
        <v>165</v>
      </c>
      <c r="E82" s="763"/>
      <c r="F82" s="192" t="s">
        <v>111</v>
      </c>
      <c r="G82" s="391">
        <v>20.5</v>
      </c>
      <c r="H82" s="532"/>
      <c r="I82" s="199">
        <v>188</v>
      </c>
      <c r="J82" s="192"/>
      <c r="K82" s="192"/>
      <c r="L82" s="192"/>
      <c r="M82" s="192"/>
      <c r="N82" s="192"/>
      <c r="O82" s="192"/>
      <c r="P82" s="192"/>
      <c r="Q82" s="192"/>
      <c r="R82" s="192" t="s">
        <v>2091</v>
      </c>
      <c r="S82" s="192" t="s">
        <v>2091</v>
      </c>
      <c r="T82" s="388">
        <v>0.6</v>
      </c>
      <c r="U82" s="388">
        <v>0.5</v>
      </c>
      <c r="V82" s="388">
        <v>1.1</v>
      </c>
      <c r="W82" s="388">
        <v>1</v>
      </c>
      <c r="X82" s="382">
        <v>13.6</v>
      </c>
      <c r="Y82" s="382"/>
      <c r="Z82" s="382"/>
      <c r="AA82" s="382">
        <v>13.6</v>
      </c>
    </row>
    <row r="83" spans="1:27" ht="13.5">
      <c r="A83" s="767"/>
      <c r="B83" s="767"/>
      <c r="C83" s="194">
        <v>15</v>
      </c>
      <c r="D83" s="394" t="s">
        <v>166</v>
      </c>
      <c r="E83" s="763"/>
      <c r="F83" s="192" t="s">
        <v>111</v>
      </c>
      <c r="G83" s="391">
        <v>28.6</v>
      </c>
      <c r="H83" s="532"/>
      <c r="I83" s="199">
        <v>333</v>
      </c>
      <c r="J83" s="192"/>
      <c r="K83" s="192"/>
      <c r="L83" s="192"/>
      <c r="M83" s="192"/>
      <c r="N83" s="192"/>
      <c r="O83" s="192"/>
      <c r="P83" s="192"/>
      <c r="Q83" s="192"/>
      <c r="R83" s="192" t="s">
        <v>2091</v>
      </c>
      <c r="S83" s="192" t="s">
        <v>2091</v>
      </c>
      <c r="T83" s="388">
        <v>1.4</v>
      </c>
      <c r="U83" s="388">
        <v>1</v>
      </c>
      <c r="V83" s="388">
        <v>1.8</v>
      </c>
      <c r="W83" s="388">
        <v>1</v>
      </c>
      <c r="X83" s="382">
        <v>25.6</v>
      </c>
      <c r="Y83" s="382"/>
      <c r="Z83" s="382"/>
      <c r="AA83" s="382">
        <v>25.6</v>
      </c>
    </row>
    <row r="84" spans="1:27" ht="13.5">
      <c r="A84" s="767"/>
      <c r="B84" s="767"/>
      <c r="C84" s="194">
        <v>16</v>
      </c>
      <c r="D84" s="394" t="s">
        <v>167</v>
      </c>
      <c r="E84" s="763"/>
      <c r="F84" s="192" t="s">
        <v>111</v>
      </c>
      <c r="G84" s="391">
        <v>35.52</v>
      </c>
      <c r="H84" s="532"/>
      <c r="I84" s="199">
        <v>404</v>
      </c>
      <c r="J84" s="192"/>
      <c r="K84" s="192"/>
      <c r="L84" s="192"/>
      <c r="M84" s="192"/>
      <c r="N84" s="192"/>
      <c r="O84" s="192"/>
      <c r="P84" s="192"/>
      <c r="Q84" s="192"/>
      <c r="R84" s="192" t="s">
        <v>2091</v>
      </c>
      <c r="S84" s="192" t="s">
        <v>2091</v>
      </c>
      <c r="T84" s="388">
        <v>0.5</v>
      </c>
      <c r="U84" s="388">
        <v>0.5</v>
      </c>
      <c r="V84" s="388">
        <v>1.5</v>
      </c>
      <c r="W84" s="388">
        <v>1</v>
      </c>
      <c r="X84" s="382">
        <v>16</v>
      </c>
      <c r="Y84" s="382"/>
      <c r="Z84" s="382"/>
      <c r="AA84" s="382">
        <v>16</v>
      </c>
    </row>
    <row r="85" spans="1:27" ht="13.5">
      <c r="A85" s="767"/>
      <c r="B85" s="767"/>
      <c r="C85" s="194">
        <v>17</v>
      </c>
      <c r="D85" s="394" t="s">
        <v>168</v>
      </c>
      <c r="E85" s="763"/>
      <c r="F85" s="192" t="s">
        <v>111</v>
      </c>
      <c r="G85" s="391">
        <v>25.5</v>
      </c>
      <c r="H85" s="532"/>
      <c r="I85" s="199">
        <v>259</v>
      </c>
      <c r="J85" s="192"/>
      <c r="K85" s="192"/>
      <c r="L85" s="192"/>
      <c r="M85" s="192"/>
      <c r="N85" s="192"/>
      <c r="O85" s="192"/>
      <c r="P85" s="192"/>
      <c r="Q85" s="192"/>
      <c r="R85" s="192" t="s">
        <v>2091</v>
      </c>
      <c r="S85" s="192" t="s">
        <v>2091</v>
      </c>
      <c r="T85" s="388">
        <v>1.5</v>
      </c>
      <c r="U85" s="388">
        <v>1</v>
      </c>
      <c r="V85" s="388">
        <v>1.8</v>
      </c>
      <c r="W85" s="388">
        <v>1</v>
      </c>
      <c r="X85" s="382">
        <v>26.4</v>
      </c>
      <c r="Y85" s="382"/>
      <c r="Z85" s="382"/>
      <c r="AA85" s="382">
        <v>26.4</v>
      </c>
    </row>
    <row r="86" spans="1:27" ht="13.5">
      <c r="A86" s="767"/>
      <c r="B86" s="767"/>
      <c r="C86" s="194">
        <v>18</v>
      </c>
      <c r="D86" s="394" t="s">
        <v>169</v>
      </c>
      <c r="E86" s="763"/>
      <c r="F86" s="192" t="s">
        <v>111</v>
      </c>
      <c r="G86" s="391">
        <v>25.35</v>
      </c>
      <c r="H86" s="532"/>
      <c r="I86" s="193">
        <v>331</v>
      </c>
      <c r="J86" s="192"/>
      <c r="K86" s="192"/>
      <c r="L86" s="192"/>
      <c r="M86" s="192"/>
      <c r="N86" s="192"/>
      <c r="O86" s="192"/>
      <c r="P86" s="192"/>
      <c r="Q86" s="192"/>
      <c r="R86" s="192" t="s">
        <v>2091</v>
      </c>
      <c r="S86" s="192" t="s">
        <v>2091</v>
      </c>
      <c r="T86" s="388">
        <v>1.4</v>
      </c>
      <c r="U86" s="388">
        <v>1</v>
      </c>
      <c r="V86" s="388">
        <v>1.6</v>
      </c>
      <c r="W86" s="388">
        <v>1</v>
      </c>
      <c r="X86" s="382">
        <v>24</v>
      </c>
      <c r="Y86" s="382"/>
      <c r="Z86" s="382"/>
      <c r="AA86" s="382">
        <v>24</v>
      </c>
    </row>
    <row r="87" spans="1:27" ht="13.5">
      <c r="A87" s="767"/>
      <c r="B87" s="767"/>
      <c r="C87" s="194">
        <v>19</v>
      </c>
      <c r="D87" s="394" t="s">
        <v>170</v>
      </c>
      <c r="E87" s="763"/>
      <c r="F87" s="192" t="s">
        <v>111</v>
      </c>
      <c r="G87" s="388">
        <v>35.5</v>
      </c>
      <c r="H87" s="532"/>
      <c r="I87" s="193">
        <v>468</v>
      </c>
      <c r="J87" s="192"/>
      <c r="K87" s="192"/>
      <c r="L87" s="192"/>
      <c r="M87" s="192"/>
      <c r="N87" s="192"/>
      <c r="O87" s="192"/>
      <c r="P87" s="192"/>
      <c r="Q87" s="192"/>
      <c r="R87" s="192" t="s">
        <v>2091</v>
      </c>
      <c r="S87" s="192" t="s">
        <v>2091</v>
      </c>
      <c r="T87" s="388">
        <v>1.8</v>
      </c>
      <c r="U87" s="388">
        <v>1</v>
      </c>
      <c r="V87" s="388">
        <v>1.9</v>
      </c>
      <c r="W87" s="388">
        <v>1.5</v>
      </c>
      <c r="X87" s="382">
        <v>29.6</v>
      </c>
      <c r="Y87" s="382"/>
      <c r="Z87" s="382"/>
      <c r="AA87" s="382">
        <v>29.6</v>
      </c>
    </row>
    <row r="88" spans="1:27" ht="13.5">
      <c r="A88" s="767"/>
      <c r="B88" s="767"/>
      <c r="C88" s="194">
        <v>20</v>
      </c>
      <c r="D88" s="394" t="s">
        <v>171</v>
      </c>
      <c r="E88" s="763"/>
      <c r="F88" s="192" t="s">
        <v>111</v>
      </c>
      <c r="G88" s="391">
        <v>45.2</v>
      </c>
      <c r="H88" s="532"/>
      <c r="I88" s="193">
        <v>578</v>
      </c>
      <c r="J88" s="192"/>
      <c r="K88" s="192"/>
      <c r="L88" s="192"/>
      <c r="M88" s="192"/>
      <c r="N88" s="192"/>
      <c r="O88" s="192"/>
      <c r="P88" s="192"/>
      <c r="Q88" s="192"/>
      <c r="R88" s="192" t="s">
        <v>2091</v>
      </c>
      <c r="S88" s="192" t="s">
        <v>2091</v>
      </c>
      <c r="T88" s="388">
        <v>0.6</v>
      </c>
      <c r="U88" s="388">
        <v>0.5</v>
      </c>
      <c r="V88" s="388">
        <v>1.2</v>
      </c>
      <c r="W88" s="388">
        <v>1</v>
      </c>
      <c r="X88" s="382">
        <v>14.4</v>
      </c>
      <c r="Y88" s="382"/>
      <c r="Z88" s="382"/>
      <c r="AA88" s="382">
        <v>14.4</v>
      </c>
    </row>
    <row r="89" spans="1:27" ht="13.5">
      <c r="A89" s="767"/>
      <c r="B89" s="767"/>
      <c r="C89" s="194">
        <v>21</v>
      </c>
      <c r="D89" s="394" t="s">
        <v>172</v>
      </c>
      <c r="E89" s="763"/>
      <c r="F89" s="192" t="s">
        <v>111</v>
      </c>
      <c r="G89" s="391">
        <v>20.5</v>
      </c>
      <c r="H89" s="532"/>
      <c r="I89" s="193">
        <v>216</v>
      </c>
      <c r="J89" s="192"/>
      <c r="K89" s="192"/>
      <c r="L89" s="192"/>
      <c r="M89" s="192"/>
      <c r="N89" s="192"/>
      <c r="O89" s="192"/>
      <c r="P89" s="192"/>
      <c r="Q89" s="192"/>
      <c r="R89" s="192" t="s">
        <v>2091</v>
      </c>
      <c r="S89" s="192" t="s">
        <v>2091</v>
      </c>
      <c r="T89" s="388">
        <v>1.5</v>
      </c>
      <c r="U89" s="388">
        <v>1</v>
      </c>
      <c r="V89" s="388">
        <v>1.1</v>
      </c>
      <c r="W89" s="388">
        <v>1</v>
      </c>
      <c r="X89" s="382">
        <v>20.8</v>
      </c>
      <c r="Y89" s="382"/>
      <c r="Z89" s="382"/>
      <c r="AA89" s="382">
        <v>20.8</v>
      </c>
    </row>
    <row r="90" spans="1:27" ht="13.5">
      <c r="A90" s="767"/>
      <c r="B90" s="767"/>
      <c r="C90" s="194">
        <v>22</v>
      </c>
      <c r="D90" s="193" t="s">
        <v>173</v>
      </c>
      <c r="E90" s="763"/>
      <c r="F90" s="192" t="s">
        <v>111</v>
      </c>
      <c r="G90" s="391">
        <v>21.45</v>
      </c>
      <c r="H90" s="532"/>
      <c r="I90" s="193">
        <v>214</v>
      </c>
      <c r="J90" s="192"/>
      <c r="K90" s="192"/>
      <c r="L90" s="192"/>
      <c r="M90" s="192"/>
      <c r="N90" s="192"/>
      <c r="O90" s="192"/>
      <c r="P90" s="192"/>
      <c r="Q90" s="192"/>
      <c r="R90" s="192" t="s">
        <v>2091</v>
      </c>
      <c r="S90" s="192" t="s">
        <v>2091</v>
      </c>
      <c r="T90" s="388">
        <v>1.2</v>
      </c>
      <c r="U90" s="388">
        <v>1</v>
      </c>
      <c r="V90" s="388">
        <v>1.3</v>
      </c>
      <c r="W90" s="388">
        <v>1</v>
      </c>
      <c r="X90" s="382">
        <v>20</v>
      </c>
      <c r="Y90" s="382"/>
      <c r="Z90" s="382"/>
      <c r="AA90" s="382">
        <v>20</v>
      </c>
    </row>
    <row r="91" spans="1:27" ht="13.5">
      <c r="A91" s="767"/>
      <c r="B91" s="767"/>
      <c r="C91" s="194">
        <v>23</v>
      </c>
      <c r="D91" s="193" t="s">
        <v>174</v>
      </c>
      <c r="E91" s="763"/>
      <c r="F91" s="192" t="s">
        <v>111</v>
      </c>
      <c r="G91" s="391">
        <v>33.975</v>
      </c>
      <c r="H91" s="532"/>
      <c r="I91" s="193">
        <v>367</v>
      </c>
      <c r="J91" s="192"/>
      <c r="K91" s="192"/>
      <c r="L91" s="192"/>
      <c r="M91" s="192"/>
      <c r="N91" s="192"/>
      <c r="O91" s="192"/>
      <c r="P91" s="192"/>
      <c r="Q91" s="192"/>
      <c r="R91" s="192" t="s">
        <v>2091</v>
      </c>
      <c r="S91" s="192" t="s">
        <v>2091</v>
      </c>
      <c r="T91" s="388">
        <v>3.2</v>
      </c>
      <c r="U91" s="388">
        <v>2.5</v>
      </c>
      <c r="V91" s="388">
        <v>1.2</v>
      </c>
      <c r="W91" s="388">
        <v>1</v>
      </c>
      <c r="X91" s="382">
        <v>35.2</v>
      </c>
      <c r="Y91" s="382"/>
      <c r="Z91" s="382"/>
      <c r="AA91" s="382">
        <v>35.2</v>
      </c>
    </row>
    <row r="92" spans="1:27" ht="13.5">
      <c r="A92" s="767"/>
      <c r="B92" s="767"/>
      <c r="C92" s="194">
        <v>24</v>
      </c>
      <c r="D92" s="193" t="s">
        <v>175</v>
      </c>
      <c r="E92" s="763"/>
      <c r="F92" s="192" t="s">
        <v>111</v>
      </c>
      <c r="G92" s="388">
        <v>24.68</v>
      </c>
      <c r="H92" s="532"/>
      <c r="I92" s="193">
        <v>239</v>
      </c>
      <c r="J92" s="192"/>
      <c r="K92" s="192"/>
      <c r="L92" s="192"/>
      <c r="M92" s="192"/>
      <c r="N92" s="192"/>
      <c r="O92" s="192"/>
      <c r="P92" s="192"/>
      <c r="Q92" s="192"/>
      <c r="R92" s="192" t="s">
        <v>2091</v>
      </c>
      <c r="S92" s="192" t="s">
        <v>2091</v>
      </c>
      <c r="T92" s="388">
        <v>3.5</v>
      </c>
      <c r="U92" s="388">
        <v>2.5</v>
      </c>
      <c r="V92" s="388">
        <v>1.3</v>
      </c>
      <c r="W92" s="388">
        <v>1</v>
      </c>
      <c r="X92" s="382">
        <v>38.4</v>
      </c>
      <c r="Y92" s="382"/>
      <c r="Z92" s="382"/>
      <c r="AA92" s="382">
        <v>38.4</v>
      </c>
    </row>
    <row r="93" spans="1:27" ht="13.5">
      <c r="A93" s="767"/>
      <c r="B93" s="767"/>
      <c r="C93" s="194">
        <v>25</v>
      </c>
      <c r="D93" s="193" t="s">
        <v>176</v>
      </c>
      <c r="E93" s="763"/>
      <c r="F93" s="192" t="s">
        <v>111</v>
      </c>
      <c r="G93" s="391">
        <v>21.5</v>
      </c>
      <c r="H93" s="532"/>
      <c r="I93" s="193">
        <v>237</v>
      </c>
      <c r="J93" s="192"/>
      <c r="K93" s="192"/>
      <c r="L93" s="192"/>
      <c r="M93" s="192"/>
      <c r="N93" s="192"/>
      <c r="O93" s="192"/>
      <c r="P93" s="192"/>
      <c r="Q93" s="192"/>
      <c r="R93" s="192" t="s">
        <v>2091</v>
      </c>
      <c r="S93" s="192" t="s">
        <v>2091</v>
      </c>
      <c r="T93" s="388">
        <v>1.5</v>
      </c>
      <c r="U93" s="388">
        <v>1.5</v>
      </c>
      <c r="V93" s="388">
        <v>1.2</v>
      </c>
      <c r="W93" s="388">
        <v>1</v>
      </c>
      <c r="X93" s="382">
        <v>21.6</v>
      </c>
      <c r="Y93" s="382"/>
      <c r="Z93" s="382"/>
      <c r="AA93" s="382">
        <v>21.6</v>
      </c>
    </row>
    <row r="94" spans="1:27" ht="13.5">
      <c r="A94" s="767"/>
      <c r="B94" s="767"/>
      <c r="C94" s="194">
        <v>26</v>
      </c>
      <c r="D94" s="193" t="s">
        <v>177</v>
      </c>
      <c r="E94" s="763"/>
      <c r="F94" s="192" t="s">
        <v>111</v>
      </c>
      <c r="G94" s="391">
        <v>25.6</v>
      </c>
      <c r="H94" s="532"/>
      <c r="I94" s="193">
        <v>313</v>
      </c>
      <c r="J94" s="192"/>
      <c r="K94" s="192"/>
      <c r="L94" s="192"/>
      <c r="M94" s="192"/>
      <c r="N94" s="192"/>
      <c r="O94" s="192"/>
      <c r="P94" s="192"/>
      <c r="Q94" s="192"/>
      <c r="R94" s="192" t="s">
        <v>2091</v>
      </c>
      <c r="S94" s="192" t="s">
        <v>2091</v>
      </c>
      <c r="T94" s="388">
        <v>1.7</v>
      </c>
      <c r="U94" s="388">
        <v>1.5</v>
      </c>
      <c r="V94" s="388">
        <v>1.8</v>
      </c>
      <c r="W94" s="388">
        <v>1.5</v>
      </c>
      <c r="X94" s="382">
        <v>28</v>
      </c>
      <c r="Y94" s="382"/>
      <c r="Z94" s="382"/>
      <c r="AA94" s="382">
        <v>28</v>
      </c>
    </row>
    <row r="95" spans="1:27" ht="13.5">
      <c r="A95" s="767"/>
      <c r="B95" s="767"/>
      <c r="C95" s="194">
        <v>27</v>
      </c>
      <c r="D95" s="193" t="s">
        <v>178</v>
      </c>
      <c r="E95" s="763"/>
      <c r="F95" s="192" t="s">
        <v>111</v>
      </c>
      <c r="G95" s="388">
        <v>40.5</v>
      </c>
      <c r="H95" s="532"/>
      <c r="I95" s="193">
        <v>520</v>
      </c>
      <c r="J95" s="192"/>
      <c r="K95" s="192"/>
      <c r="L95" s="192"/>
      <c r="M95" s="192"/>
      <c r="N95" s="192"/>
      <c r="O95" s="192"/>
      <c r="P95" s="192"/>
      <c r="Q95" s="192"/>
      <c r="R95" s="192" t="s">
        <v>2091</v>
      </c>
      <c r="S95" s="192" t="s">
        <v>2091</v>
      </c>
      <c r="T95" s="388">
        <v>2.5</v>
      </c>
      <c r="U95" s="388">
        <v>2</v>
      </c>
      <c r="V95" s="388">
        <v>1.8</v>
      </c>
      <c r="W95" s="388">
        <v>1.5</v>
      </c>
      <c r="X95" s="382">
        <v>34.4</v>
      </c>
      <c r="Y95" s="382"/>
      <c r="Z95" s="382"/>
      <c r="AA95" s="382">
        <v>34.4</v>
      </c>
    </row>
    <row r="96" spans="1:27" ht="13.5">
      <c r="A96" s="767"/>
      <c r="B96" s="767"/>
      <c r="C96" s="194">
        <v>28</v>
      </c>
      <c r="D96" s="193" t="s">
        <v>179</v>
      </c>
      <c r="E96" s="763"/>
      <c r="F96" s="192" t="s">
        <v>111</v>
      </c>
      <c r="G96" s="388">
        <v>35.6</v>
      </c>
      <c r="H96" s="532"/>
      <c r="I96" s="193">
        <v>451</v>
      </c>
      <c r="J96" s="192"/>
      <c r="K96" s="192"/>
      <c r="L96" s="192"/>
      <c r="M96" s="192"/>
      <c r="N96" s="192"/>
      <c r="O96" s="192"/>
      <c r="P96" s="192"/>
      <c r="Q96" s="192"/>
      <c r="R96" s="192" t="s">
        <v>2091</v>
      </c>
      <c r="S96" s="192" t="s">
        <v>2091</v>
      </c>
      <c r="T96" s="388">
        <v>1.9</v>
      </c>
      <c r="U96" s="388">
        <v>1.5</v>
      </c>
      <c r="V96" s="388">
        <v>2.1</v>
      </c>
      <c r="W96" s="388">
        <v>2</v>
      </c>
      <c r="X96" s="382">
        <v>32</v>
      </c>
      <c r="Y96" s="382"/>
      <c r="Z96" s="382"/>
      <c r="AA96" s="382">
        <v>32</v>
      </c>
    </row>
    <row r="97" spans="1:27" ht="13.5">
      <c r="A97" s="767"/>
      <c r="B97" s="767"/>
      <c r="C97" s="194">
        <v>29</v>
      </c>
      <c r="D97" s="193" t="s">
        <v>180</v>
      </c>
      <c r="E97" s="763"/>
      <c r="F97" s="192" t="s">
        <v>111</v>
      </c>
      <c r="G97" s="391">
        <v>20.5</v>
      </c>
      <c r="H97" s="532"/>
      <c r="I97" s="199">
        <v>211</v>
      </c>
      <c r="J97" s="192"/>
      <c r="K97" s="192"/>
      <c r="L97" s="192"/>
      <c r="M97" s="192"/>
      <c r="N97" s="192"/>
      <c r="O97" s="192"/>
      <c r="P97" s="192"/>
      <c r="Q97" s="192"/>
      <c r="R97" s="192" t="s">
        <v>2091</v>
      </c>
      <c r="S97" s="192" t="s">
        <v>2091</v>
      </c>
      <c r="T97" s="388">
        <v>1.5</v>
      </c>
      <c r="U97" s="388">
        <v>1</v>
      </c>
      <c r="V97" s="388">
        <v>1.6</v>
      </c>
      <c r="W97" s="388">
        <v>1</v>
      </c>
      <c r="X97" s="382">
        <v>24.8</v>
      </c>
      <c r="Y97" s="382"/>
      <c r="Z97" s="382"/>
      <c r="AA97" s="382">
        <v>24.8</v>
      </c>
    </row>
    <row r="98" spans="1:27" ht="13.5">
      <c r="A98" s="767"/>
      <c r="B98" s="767"/>
      <c r="C98" s="194">
        <v>30</v>
      </c>
      <c r="D98" s="193" t="s">
        <v>181</v>
      </c>
      <c r="E98" s="763"/>
      <c r="F98" s="192" t="s">
        <v>111</v>
      </c>
      <c r="G98" s="388">
        <v>35.2</v>
      </c>
      <c r="H98" s="532"/>
      <c r="I98" s="199">
        <v>393</v>
      </c>
      <c r="J98" s="192"/>
      <c r="K98" s="192"/>
      <c r="L98" s="192"/>
      <c r="M98" s="192"/>
      <c r="N98" s="192"/>
      <c r="O98" s="192"/>
      <c r="P98" s="192"/>
      <c r="Q98" s="192"/>
      <c r="R98" s="192" t="s">
        <v>2091</v>
      </c>
      <c r="S98" s="192" t="s">
        <v>2091</v>
      </c>
      <c r="T98" s="388">
        <v>2.2</v>
      </c>
      <c r="U98" s="388">
        <v>2</v>
      </c>
      <c r="V98" s="388">
        <v>1.4</v>
      </c>
      <c r="W98" s="388">
        <v>1</v>
      </c>
      <c r="X98" s="382">
        <v>28.8</v>
      </c>
      <c r="Y98" s="382"/>
      <c r="Z98" s="382"/>
      <c r="AA98" s="382">
        <v>28.8</v>
      </c>
    </row>
    <row r="99" spans="1:27" ht="13.5">
      <c r="A99" s="767"/>
      <c r="B99" s="767"/>
      <c r="C99" s="194">
        <v>31</v>
      </c>
      <c r="D99" s="193" t="s">
        <v>182</v>
      </c>
      <c r="E99" s="763"/>
      <c r="F99" s="192" t="s">
        <v>111</v>
      </c>
      <c r="G99" s="391">
        <v>25.6</v>
      </c>
      <c r="H99" s="532"/>
      <c r="I99" s="199">
        <v>245</v>
      </c>
      <c r="J99" s="192"/>
      <c r="K99" s="192"/>
      <c r="L99" s="192"/>
      <c r="M99" s="192"/>
      <c r="N99" s="192"/>
      <c r="O99" s="192"/>
      <c r="P99" s="192"/>
      <c r="Q99" s="192"/>
      <c r="R99" s="192" t="s">
        <v>2091</v>
      </c>
      <c r="S99" s="192" t="s">
        <v>2091</v>
      </c>
      <c r="T99" s="388">
        <v>1.6</v>
      </c>
      <c r="U99" s="388">
        <v>1</v>
      </c>
      <c r="V99" s="388">
        <v>1.5</v>
      </c>
      <c r="W99" s="388">
        <v>1.2</v>
      </c>
      <c r="X99" s="382">
        <v>24.8</v>
      </c>
      <c r="Y99" s="382"/>
      <c r="Z99" s="382"/>
      <c r="AA99" s="382">
        <v>24.8</v>
      </c>
    </row>
    <row r="100" spans="1:27" ht="13.5">
      <c r="A100" s="767"/>
      <c r="B100" s="767"/>
      <c r="C100" s="194">
        <v>32</v>
      </c>
      <c r="D100" s="193" t="s">
        <v>183</v>
      </c>
      <c r="E100" s="763"/>
      <c r="F100" s="192" t="s">
        <v>111</v>
      </c>
      <c r="G100" s="388">
        <v>25.6</v>
      </c>
      <c r="H100" s="532"/>
      <c r="I100" s="199">
        <v>261</v>
      </c>
      <c r="J100" s="192"/>
      <c r="K100" s="192"/>
      <c r="L100" s="192"/>
      <c r="M100" s="192"/>
      <c r="N100" s="192"/>
      <c r="O100" s="192"/>
      <c r="P100" s="192"/>
      <c r="Q100" s="192"/>
      <c r="R100" s="192" t="s">
        <v>2091</v>
      </c>
      <c r="S100" s="192" t="s">
        <v>2091</v>
      </c>
      <c r="T100" s="388">
        <v>2.1</v>
      </c>
      <c r="U100" s="388">
        <v>2</v>
      </c>
      <c r="V100" s="388">
        <v>1.6</v>
      </c>
      <c r="W100" s="388">
        <v>1.5</v>
      </c>
      <c r="X100" s="382">
        <v>29.6</v>
      </c>
      <c r="Y100" s="382"/>
      <c r="Z100" s="382"/>
      <c r="AA100" s="382">
        <v>29.6</v>
      </c>
    </row>
    <row r="101" spans="1:27" ht="13.5">
      <c r="A101" s="767"/>
      <c r="B101" s="767"/>
      <c r="C101" s="194">
        <v>33</v>
      </c>
      <c r="D101" s="394" t="s">
        <v>184</v>
      </c>
      <c r="E101" s="763"/>
      <c r="F101" s="192" t="s">
        <v>111</v>
      </c>
      <c r="G101" s="391">
        <v>35.7</v>
      </c>
      <c r="H101" s="532"/>
      <c r="I101" s="199">
        <v>464</v>
      </c>
      <c r="J101" s="192"/>
      <c r="K101" s="192"/>
      <c r="L101" s="192"/>
      <c r="M101" s="192"/>
      <c r="N101" s="192"/>
      <c r="O101" s="192"/>
      <c r="P101" s="192"/>
      <c r="Q101" s="192"/>
      <c r="R101" s="192" t="s">
        <v>2091</v>
      </c>
      <c r="S101" s="192" t="s">
        <v>2091</v>
      </c>
      <c r="T101" s="388">
        <v>2.1</v>
      </c>
      <c r="U101" s="388">
        <v>2</v>
      </c>
      <c r="V101" s="388">
        <v>1.6</v>
      </c>
      <c r="W101" s="388">
        <v>1.5</v>
      </c>
      <c r="X101" s="382">
        <v>29.6</v>
      </c>
      <c r="Y101" s="382"/>
      <c r="Z101" s="382"/>
      <c r="AA101" s="382">
        <v>29.6</v>
      </c>
    </row>
    <row r="102" spans="1:27" ht="13.5">
      <c r="A102" s="767"/>
      <c r="B102" s="767"/>
      <c r="C102" s="194">
        <v>34</v>
      </c>
      <c r="D102" s="394" t="s">
        <v>185</v>
      </c>
      <c r="E102" s="763"/>
      <c r="F102" s="192" t="s">
        <v>111</v>
      </c>
      <c r="G102" s="388">
        <v>20.4</v>
      </c>
      <c r="H102" s="532"/>
      <c r="I102" s="192">
        <v>206</v>
      </c>
      <c r="J102" s="192"/>
      <c r="K102" s="192"/>
      <c r="L102" s="192"/>
      <c r="M102" s="192"/>
      <c r="N102" s="192"/>
      <c r="O102" s="192"/>
      <c r="P102" s="192"/>
      <c r="Q102" s="192"/>
      <c r="R102" s="192" t="s">
        <v>2091</v>
      </c>
      <c r="S102" s="192" t="s">
        <v>2091</v>
      </c>
      <c r="T102" s="388">
        <v>2.5</v>
      </c>
      <c r="U102" s="388">
        <v>2</v>
      </c>
      <c r="V102" s="388">
        <v>1.6</v>
      </c>
      <c r="W102" s="388">
        <v>1.5</v>
      </c>
      <c r="X102" s="382">
        <v>32.8</v>
      </c>
      <c r="Y102" s="382"/>
      <c r="Z102" s="382"/>
      <c r="AA102" s="382">
        <v>32.8</v>
      </c>
    </row>
    <row r="103" spans="1:27" ht="13.5">
      <c r="A103" s="767"/>
      <c r="B103" s="767"/>
      <c r="C103" s="194">
        <v>35</v>
      </c>
      <c r="D103" s="394" t="s">
        <v>186</v>
      </c>
      <c r="E103" s="763"/>
      <c r="F103" s="192" t="s">
        <v>111</v>
      </c>
      <c r="G103" s="388">
        <v>28.95</v>
      </c>
      <c r="H103" s="532"/>
      <c r="I103" s="192">
        <v>328</v>
      </c>
      <c r="J103" s="192"/>
      <c r="K103" s="192"/>
      <c r="L103" s="192"/>
      <c r="M103" s="192"/>
      <c r="N103" s="192"/>
      <c r="O103" s="192"/>
      <c r="P103" s="192"/>
      <c r="Q103" s="192"/>
      <c r="R103" s="192" t="s">
        <v>2091</v>
      </c>
      <c r="S103" s="192" t="s">
        <v>2091</v>
      </c>
      <c r="T103" s="388">
        <v>2.4</v>
      </c>
      <c r="U103" s="388">
        <v>2</v>
      </c>
      <c r="V103" s="388">
        <v>1.8</v>
      </c>
      <c r="W103" s="388">
        <v>1.5</v>
      </c>
      <c r="X103" s="382">
        <v>33.6</v>
      </c>
      <c r="Y103" s="382"/>
      <c r="Z103" s="382"/>
      <c r="AA103" s="382">
        <v>33.6</v>
      </c>
    </row>
    <row r="104" spans="1:27" ht="13.5">
      <c r="A104" s="767"/>
      <c r="B104" s="767"/>
      <c r="C104" s="194">
        <v>36</v>
      </c>
      <c r="D104" s="394" t="s">
        <v>187</v>
      </c>
      <c r="E104" s="763"/>
      <c r="F104" s="192" t="s">
        <v>111</v>
      </c>
      <c r="G104" s="388">
        <v>25.125</v>
      </c>
      <c r="H104" s="532"/>
      <c r="I104" s="192">
        <v>274</v>
      </c>
      <c r="J104" s="192"/>
      <c r="K104" s="192"/>
      <c r="L104" s="192"/>
      <c r="M104" s="192"/>
      <c r="N104" s="192"/>
      <c r="O104" s="192"/>
      <c r="P104" s="192"/>
      <c r="Q104" s="192"/>
      <c r="R104" s="192" t="s">
        <v>2091</v>
      </c>
      <c r="S104" s="192" t="s">
        <v>2091</v>
      </c>
      <c r="T104" s="388">
        <v>1.5</v>
      </c>
      <c r="U104" s="388">
        <v>1</v>
      </c>
      <c r="V104" s="388">
        <v>3</v>
      </c>
      <c r="W104" s="388">
        <v>2.5</v>
      </c>
      <c r="X104" s="382">
        <v>36</v>
      </c>
      <c r="Y104" s="382"/>
      <c r="Z104" s="382"/>
      <c r="AA104" s="382">
        <v>36</v>
      </c>
    </row>
    <row r="105" spans="1:27" ht="13.5">
      <c r="A105" s="767"/>
      <c r="B105" s="767"/>
      <c r="C105" s="194">
        <v>37</v>
      </c>
      <c r="D105" s="394" t="s">
        <v>188</v>
      </c>
      <c r="E105" s="763"/>
      <c r="F105" s="192" t="s">
        <v>111</v>
      </c>
      <c r="G105" s="388">
        <v>28.5</v>
      </c>
      <c r="H105" s="532"/>
      <c r="I105" s="192">
        <v>331</v>
      </c>
      <c r="J105" s="192"/>
      <c r="K105" s="192"/>
      <c r="L105" s="192"/>
      <c r="M105" s="192"/>
      <c r="N105" s="192"/>
      <c r="O105" s="192"/>
      <c r="P105" s="192"/>
      <c r="Q105" s="192"/>
      <c r="R105" s="192" t="s">
        <v>2091</v>
      </c>
      <c r="S105" s="192" t="s">
        <v>2091</v>
      </c>
      <c r="T105" s="388">
        <v>2</v>
      </c>
      <c r="U105" s="388">
        <v>1.5</v>
      </c>
      <c r="V105" s="388">
        <v>3</v>
      </c>
      <c r="W105" s="388">
        <v>2.5</v>
      </c>
      <c r="X105" s="382">
        <v>40</v>
      </c>
      <c r="Y105" s="382"/>
      <c r="Z105" s="382"/>
      <c r="AA105" s="382">
        <v>40</v>
      </c>
    </row>
    <row r="106" spans="1:27" ht="13.5">
      <c r="A106" s="767"/>
      <c r="B106" s="767"/>
      <c r="C106" s="194">
        <v>38</v>
      </c>
      <c r="D106" s="193" t="s">
        <v>189</v>
      </c>
      <c r="E106" s="763"/>
      <c r="F106" s="192" t="s">
        <v>111</v>
      </c>
      <c r="G106" s="388">
        <v>75.2</v>
      </c>
      <c r="H106" s="532"/>
      <c r="I106" s="192">
        <v>982</v>
      </c>
      <c r="J106" s="192"/>
      <c r="K106" s="192"/>
      <c r="L106" s="192"/>
      <c r="M106" s="192"/>
      <c r="N106" s="192"/>
      <c r="O106" s="192"/>
      <c r="P106" s="192"/>
      <c r="Q106" s="192"/>
      <c r="R106" s="192" t="s">
        <v>2091</v>
      </c>
      <c r="S106" s="192" t="s">
        <v>2091</v>
      </c>
      <c r="T106" s="388">
        <v>2.2</v>
      </c>
      <c r="U106" s="388">
        <v>2</v>
      </c>
      <c r="V106" s="388">
        <v>3</v>
      </c>
      <c r="W106" s="388">
        <v>2.5</v>
      </c>
      <c r="X106" s="382">
        <v>41.6</v>
      </c>
      <c r="Y106" s="382"/>
      <c r="Z106" s="382"/>
      <c r="AA106" s="382">
        <v>41.6</v>
      </c>
    </row>
    <row r="107" spans="1:27" ht="13.5">
      <c r="A107" s="767"/>
      <c r="B107" s="767"/>
      <c r="C107" s="194">
        <v>39</v>
      </c>
      <c r="D107" s="193" t="s">
        <v>190</v>
      </c>
      <c r="E107" s="763"/>
      <c r="F107" s="192" t="s">
        <v>111</v>
      </c>
      <c r="G107" s="388">
        <v>20.5</v>
      </c>
      <c r="H107" s="532"/>
      <c r="I107" s="192">
        <v>245</v>
      </c>
      <c r="J107" s="192"/>
      <c r="K107" s="192"/>
      <c r="L107" s="192"/>
      <c r="M107" s="192"/>
      <c r="N107" s="192"/>
      <c r="O107" s="192"/>
      <c r="P107" s="192"/>
      <c r="Q107" s="192"/>
      <c r="R107" s="192" t="s">
        <v>2091</v>
      </c>
      <c r="S107" s="192" t="s">
        <v>2091</v>
      </c>
      <c r="T107" s="388">
        <v>2</v>
      </c>
      <c r="U107" s="388">
        <v>2</v>
      </c>
      <c r="V107" s="388">
        <v>3</v>
      </c>
      <c r="W107" s="388">
        <v>2.5</v>
      </c>
      <c r="X107" s="382">
        <v>40</v>
      </c>
      <c r="Y107" s="382"/>
      <c r="Z107" s="382"/>
      <c r="AA107" s="382">
        <v>40</v>
      </c>
    </row>
    <row r="108" spans="1:27" ht="13.5">
      <c r="A108" s="767"/>
      <c r="B108" s="767"/>
      <c r="C108" s="194">
        <v>40</v>
      </c>
      <c r="D108" s="193" t="s">
        <v>191</v>
      </c>
      <c r="E108" s="763"/>
      <c r="F108" s="192" t="s">
        <v>111</v>
      </c>
      <c r="G108" s="388">
        <v>26.4</v>
      </c>
      <c r="H108" s="532"/>
      <c r="I108" s="192">
        <v>322</v>
      </c>
      <c r="J108" s="192"/>
      <c r="K108" s="192"/>
      <c r="L108" s="192"/>
      <c r="M108" s="192"/>
      <c r="N108" s="192"/>
      <c r="O108" s="192"/>
      <c r="P108" s="192"/>
      <c r="Q108" s="192"/>
      <c r="R108" s="192" t="s">
        <v>2091</v>
      </c>
      <c r="S108" s="192" t="s">
        <v>2091</v>
      </c>
      <c r="T108" s="388">
        <v>3</v>
      </c>
      <c r="U108" s="388">
        <v>2.5</v>
      </c>
      <c r="V108" s="388">
        <v>2.2</v>
      </c>
      <c r="W108" s="388">
        <v>2</v>
      </c>
      <c r="X108" s="382">
        <v>41.6</v>
      </c>
      <c r="Y108" s="382"/>
      <c r="Z108" s="382"/>
      <c r="AA108" s="382">
        <v>41.6</v>
      </c>
    </row>
    <row r="109" spans="1:27" ht="13.5">
      <c r="A109" s="767"/>
      <c r="B109" s="767"/>
      <c r="C109" s="194">
        <v>41</v>
      </c>
      <c r="D109" s="193" t="s">
        <v>192</v>
      </c>
      <c r="E109" s="763"/>
      <c r="F109" s="192" t="s">
        <v>111</v>
      </c>
      <c r="G109" s="388">
        <v>20.1</v>
      </c>
      <c r="H109" s="532"/>
      <c r="I109" s="192">
        <v>218</v>
      </c>
      <c r="J109" s="192"/>
      <c r="K109" s="192"/>
      <c r="L109" s="192"/>
      <c r="M109" s="192"/>
      <c r="N109" s="192"/>
      <c r="O109" s="192"/>
      <c r="P109" s="192"/>
      <c r="Q109" s="192"/>
      <c r="R109" s="192" t="s">
        <v>2091</v>
      </c>
      <c r="S109" s="192" t="s">
        <v>2091</v>
      </c>
      <c r="T109" s="388">
        <v>2</v>
      </c>
      <c r="U109" s="388">
        <v>1.5</v>
      </c>
      <c r="V109" s="388">
        <v>1.8</v>
      </c>
      <c r="W109" s="388">
        <v>1.5</v>
      </c>
      <c r="X109" s="382">
        <v>30.4</v>
      </c>
      <c r="Y109" s="382"/>
      <c r="Z109" s="382"/>
      <c r="AA109" s="382">
        <v>30.4</v>
      </c>
    </row>
    <row r="110" spans="1:27" ht="13.5">
      <c r="A110" s="767"/>
      <c r="B110" s="767"/>
      <c r="C110" s="194">
        <v>42</v>
      </c>
      <c r="D110" s="193" t="s">
        <v>193</v>
      </c>
      <c r="E110" s="763"/>
      <c r="F110" s="192" t="s">
        <v>111</v>
      </c>
      <c r="G110" s="388">
        <v>20.1</v>
      </c>
      <c r="H110" s="532"/>
      <c r="I110" s="192">
        <v>258</v>
      </c>
      <c r="J110" s="192"/>
      <c r="K110" s="192"/>
      <c r="L110" s="192"/>
      <c r="M110" s="192"/>
      <c r="N110" s="192"/>
      <c r="O110" s="192"/>
      <c r="P110" s="192"/>
      <c r="Q110" s="192"/>
      <c r="R110" s="192" t="s">
        <v>2091</v>
      </c>
      <c r="S110" s="192" t="s">
        <v>2091</v>
      </c>
      <c r="T110" s="388">
        <v>1</v>
      </c>
      <c r="U110" s="388">
        <v>1</v>
      </c>
      <c r="V110" s="388">
        <v>1.5</v>
      </c>
      <c r="W110" s="388">
        <v>1</v>
      </c>
      <c r="X110" s="382">
        <v>20</v>
      </c>
      <c r="Y110" s="382"/>
      <c r="Z110" s="382"/>
      <c r="AA110" s="382">
        <v>20</v>
      </c>
    </row>
    <row r="111" spans="1:27" ht="13.5">
      <c r="A111" s="767"/>
      <c r="B111" s="767"/>
      <c r="C111" s="194">
        <v>43</v>
      </c>
      <c r="D111" s="193" t="s">
        <v>194</v>
      </c>
      <c r="E111" s="763"/>
      <c r="F111" s="192" t="s">
        <v>111</v>
      </c>
      <c r="G111" s="388">
        <v>35.2</v>
      </c>
      <c r="H111" s="532"/>
      <c r="I111" s="192">
        <v>431</v>
      </c>
      <c r="J111" s="192"/>
      <c r="K111" s="192"/>
      <c r="L111" s="192"/>
      <c r="M111" s="192"/>
      <c r="N111" s="192"/>
      <c r="O111" s="192"/>
      <c r="P111" s="192"/>
      <c r="Q111" s="192"/>
      <c r="R111" s="192" t="s">
        <v>2091</v>
      </c>
      <c r="S111" s="192" t="s">
        <v>2091</v>
      </c>
      <c r="T111" s="388">
        <v>2</v>
      </c>
      <c r="U111" s="388">
        <v>2</v>
      </c>
      <c r="V111" s="388">
        <v>2</v>
      </c>
      <c r="W111" s="388">
        <v>2</v>
      </c>
      <c r="X111" s="382">
        <v>32</v>
      </c>
      <c r="Y111" s="382"/>
      <c r="Z111" s="382"/>
      <c r="AA111" s="382">
        <v>32</v>
      </c>
    </row>
    <row r="112" spans="1:27" ht="13.5">
      <c r="A112" s="767"/>
      <c r="B112" s="767"/>
      <c r="C112" s="194">
        <v>44</v>
      </c>
      <c r="D112" s="193" t="s">
        <v>195</v>
      </c>
      <c r="E112" s="763"/>
      <c r="F112" s="192" t="s">
        <v>111</v>
      </c>
      <c r="G112" s="388">
        <v>70.4</v>
      </c>
      <c r="H112" s="532"/>
      <c r="I112" s="192">
        <v>910</v>
      </c>
      <c r="J112" s="192"/>
      <c r="K112" s="192"/>
      <c r="L112" s="192"/>
      <c r="M112" s="192"/>
      <c r="N112" s="192"/>
      <c r="O112" s="192"/>
      <c r="P112" s="192"/>
      <c r="Q112" s="192"/>
      <c r="R112" s="192" t="s">
        <v>2091</v>
      </c>
      <c r="S112" s="192" t="s">
        <v>2091</v>
      </c>
      <c r="T112" s="388">
        <v>2</v>
      </c>
      <c r="U112" s="388">
        <v>2</v>
      </c>
      <c r="V112" s="388">
        <v>3</v>
      </c>
      <c r="W112" s="388">
        <v>2</v>
      </c>
      <c r="X112" s="382">
        <v>40</v>
      </c>
      <c r="Y112" s="382"/>
      <c r="Z112" s="382"/>
      <c r="AA112" s="382">
        <v>40</v>
      </c>
    </row>
    <row r="113" spans="1:27" ht="13.5">
      <c r="A113" s="767"/>
      <c r="B113" s="767"/>
      <c r="C113" s="194">
        <v>45</v>
      </c>
      <c r="D113" s="193" t="s">
        <v>196</v>
      </c>
      <c r="E113" s="763"/>
      <c r="F113" s="192" t="s">
        <v>111</v>
      </c>
      <c r="G113" s="388">
        <v>20.5</v>
      </c>
      <c r="H113" s="532"/>
      <c r="I113" s="192">
        <v>252</v>
      </c>
      <c r="J113" s="192"/>
      <c r="K113" s="192"/>
      <c r="L113" s="192"/>
      <c r="M113" s="192"/>
      <c r="N113" s="192"/>
      <c r="O113" s="192"/>
      <c r="P113" s="192"/>
      <c r="Q113" s="192"/>
      <c r="R113" s="192" t="s">
        <v>2091</v>
      </c>
      <c r="S113" s="192" t="s">
        <v>2091</v>
      </c>
      <c r="T113" s="388">
        <v>2</v>
      </c>
      <c r="U113" s="388">
        <v>2</v>
      </c>
      <c r="V113" s="388">
        <v>2</v>
      </c>
      <c r="W113" s="388">
        <v>2</v>
      </c>
      <c r="X113" s="382">
        <v>32</v>
      </c>
      <c r="Y113" s="382"/>
      <c r="Z113" s="382"/>
      <c r="AA113" s="382">
        <v>32</v>
      </c>
    </row>
    <row r="114" spans="1:27" ht="13.5">
      <c r="A114" s="767"/>
      <c r="B114" s="767"/>
      <c r="C114" s="194">
        <v>46</v>
      </c>
      <c r="D114" s="193" t="s">
        <v>197</v>
      </c>
      <c r="E114" s="763"/>
      <c r="F114" s="192" t="s">
        <v>111</v>
      </c>
      <c r="G114" s="388">
        <v>20.5</v>
      </c>
      <c r="H114" s="532"/>
      <c r="I114" s="192">
        <v>226</v>
      </c>
      <c r="J114" s="192"/>
      <c r="K114" s="192"/>
      <c r="L114" s="192"/>
      <c r="M114" s="192"/>
      <c r="N114" s="192"/>
      <c r="O114" s="192"/>
      <c r="P114" s="192"/>
      <c r="Q114" s="192"/>
      <c r="R114" s="192" t="s">
        <v>2091</v>
      </c>
      <c r="S114" s="192" t="s">
        <v>2091</v>
      </c>
      <c r="T114" s="388">
        <v>2</v>
      </c>
      <c r="U114" s="388">
        <v>2</v>
      </c>
      <c r="V114" s="388">
        <v>2</v>
      </c>
      <c r="W114" s="388">
        <v>2</v>
      </c>
      <c r="X114" s="382">
        <v>32</v>
      </c>
      <c r="Y114" s="382"/>
      <c r="Z114" s="382"/>
      <c r="AA114" s="382">
        <v>32</v>
      </c>
    </row>
    <row r="115" spans="1:27" ht="13.5">
      <c r="A115" s="767"/>
      <c r="B115" s="767"/>
      <c r="C115" s="194">
        <v>47</v>
      </c>
      <c r="D115" s="193" t="s">
        <v>198</v>
      </c>
      <c r="E115" s="763"/>
      <c r="F115" s="192" t="s">
        <v>111</v>
      </c>
      <c r="G115" s="388">
        <v>50.5</v>
      </c>
      <c r="H115" s="532"/>
      <c r="I115" s="192">
        <v>662</v>
      </c>
      <c r="J115" s="192"/>
      <c r="K115" s="192"/>
      <c r="L115" s="192"/>
      <c r="M115" s="192"/>
      <c r="N115" s="192"/>
      <c r="O115" s="192"/>
      <c r="P115" s="192"/>
      <c r="Q115" s="192"/>
      <c r="R115" s="192" t="s">
        <v>2091</v>
      </c>
      <c r="S115" s="192" t="s">
        <v>2091</v>
      </c>
      <c r="T115" s="388">
        <v>2</v>
      </c>
      <c r="U115" s="388">
        <v>2</v>
      </c>
      <c r="V115" s="388">
        <v>1</v>
      </c>
      <c r="W115" s="388">
        <v>1</v>
      </c>
      <c r="X115" s="382">
        <v>24</v>
      </c>
      <c r="Y115" s="382"/>
      <c r="Z115" s="382"/>
      <c r="AA115" s="382">
        <v>24</v>
      </c>
    </row>
    <row r="116" spans="1:27" ht="13.5">
      <c r="A116" s="767"/>
      <c r="B116" s="767"/>
      <c r="C116" s="194">
        <v>48</v>
      </c>
      <c r="D116" s="193" t="s">
        <v>199</v>
      </c>
      <c r="E116" s="763"/>
      <c r="F116" s="192" t="s">
        <v>111</v>
      </c>
      <c r="G116" s="388">
        <v>25.5</v>
      </c>
      <c r="H116" s="532"/>
      <c r="I116" s="192">
        <v>289</v>
      </c>
      <c r="J116" s="192"/>
      <c r="K116" s="192"/>
      <c r="L116" s="192"/>
      <c r="M116" s="192"/>
      <c r="N116" s="192"/>
      <c r="O116" s="192"/>
      <c r="P116" s="192"/>
      <c r="Q116" s="192"/>
      <c r="R116" s="192" t="s">
        <v>2091</v>
      </c>
      <c r="S116" s="192" t="s">
        <v>2091</v>
      </c>
      <c r="T116" s="388">
        <v>2</v>
      </c>
      <c r="U116" s="388">
        <v>2</v>
      </c>
      <c r="V116" s="388">
        <v>1</v>
      </c>
      <c r="W116" s="388">
        <v>1</v>
      </c>
      <c r="X116" s="382">
        <v>24</v>
      </c>
      <c r="Y116" s="382"/>
      <c r="Z116" s="382"/>
      <c r="AA116" s="382">
        <v>24</v>
      </c>
    </row>
    <row r="117" spans="1:27" ht="13.5">
      <c r="A117" s="767"/>
      <c r="B117" s="767"/>
      <c r="C117" s="194">
        <v>49</v>
      </c>
      <c r="D117" s="193" t="s">
        <v>200</v>
      </c>
      <c r="E117" s="763"/>
      <c r="F117" s="192" t="s">
        <v>111</v>
      </c>
      <c r="G117" s="388">
        <v>20.5</v>
      </c>
      <c r="H117" s="532"/>
      <c r="I117" s="192">
        <v>210</v>
      </c>
      <c r="J117" s="192"/>
      <c r="K117" s="192"/>
      <c r="L117" s="192"/>
      <c r="M117" s="192"/>
      <c r="N117" s="192"/>
      <c r="O117" s="192"/>
      <c r="P117" s="192"/>
      <c r="Q117" s="192"/>
      <c r="R117" s="192" t="s">
        <v>2091</v>
      </c>
      <c r="S117" s="192" t="s">
        <v>2091</v>
      </c>
      <c r="T117" s="388">
        <v>1.5</v>
      </c>
      <c r="U117" s="388">
        <v>1</v>
      </c>
      <c r="V117" s="388">
        <v>1</v>
      </c>
      <c r="W117" s="388">
        <v>1</v>
      </c>
      <c r="X117" s="382">
        <v>20</v>
      </c>
      <c r="Y117" s="382"/>
      <c r="Z117" s="382"/>
      <c r="AA117" s="382">
        <v>20</v>
      </c>
    </row>
    <row r="118" spans="1:27" ht="13.5">
      <c r="A118" s="767"/>
      <c r="B118" s="767"/>
      <c r="C118" s="194">
        <v>50</v>
      </c>
      <c r="D118" s="193" t="s">
        <v>170</v>
      </c>
      <c r="E118" s="763"/>
      <c r="F118" s="192" t="s">
        <v>111</v>
      </c>
      <c r="G118" s="388">
        <v>20.5</v>
      </c>
      <c r="H118" s="532"/>
      <c r="I118" s="192">
        <v>241</v>
      </c>
      <c r="J118" s="192"/>
      <c r="K118" s="192"/>
      <c r="L118" s="192"/>
      <c r="M118" s="192"/>
      <c r="N118" s="192"/>
      <c r="O118" s="192"/>
      <c r="P118" s="192"/>
      <c r="Q118" s="192"/>
      <c r="R118" s="192" t="s">
        <v>2091</v>
      </c>
      <c r="S118" s="192" t="s">
        <v>2091</v>
      </c>
      <c r="T118" s="388">
        <v>2</v>
      </c>
      <c r="U118" s="388">
        <v>2</v>
      </c>
      <c r="V118" s="388">
        <v>2</v>
      </c>
      <c r="W118" s="388">
        <v>1.5</v>
      </c>
      <c r="X118" s="382">
        <v>32</v>
      </c>
      <c r="Y118" s="382"/>
      <c r="Z118" s="382"/>
      <c r="AA118" s="382">
        <v>32</v>
      </c>
    </row>
    <row r="119" spans="1:27" ht="13.5">
      <c r="A119" s="767"/>
      <c r="B119" s="767"/>
      <c r="C119" s="194">
        <v>51</v>
      </c>
      <c r="D119" s="193" t="s">
        <v>201</v>
      </c>
      <c r="E119" s="763"/>
      <c r="F119" s="192" t="s">
        <v>111</v>
      </c>
      <c r="G119" s="388">
        <v>20.5</v>
      </c>
      <c r="H119" s="532"/>
      <c r="I119" s="192">
        <v>239</v>
      </c>
      <c r="J119" s="192"/>
      <c r="K119" s="192"/>
      <c r="L119" s="192"/>
      <c r="M119" s="192"/>
      <c r="N119" s="192"/>
      <c r="O119" s="192"/>
      <c r="P119" s="192"/>
      <c r="Q119" s="192"/>
      <c r="R119" s="192" t="s">
        <v>2091</v>
      </c>
      <c r="S119" s="192" t="s">
        <v>2091</v>
      </c>
      <c r="T119" s="388">
        <v>1.5</v>
      </c>
      <c r="U119" s="388">
        <v>1.3</v>
      </c>
      <c r="V119" s="388">
        <v>1.5</v>
      </c>
      <c r="W119" s="388">
        <v>1.5</v>
      </c>
      <c r="X119" s="382">
        <v>24</v>
      </c>
      <c r="Y119" s="382"/>
      <c r="Z119" s="382"/>
      <c r="AA119" s="382">
        <v>24</v>
      </c>
    </row>
    <row r="120" spans="1:27" ht="13.5">
      <c r="A120" s="767"/>
      <c r="B120" s="767"/>
      <c r="C120" s="194">
        <v>52</v>
      </c>
      <c r="D120" s="193" t="s">
        <v>202</v>
      </c>
      <c r="E120" s="763"/>
      <c r="F120" s="192" t="s">
        <v>111</v>
      </c>
      <c r="G120" s="388">
        <v>28.4</v>
      </c>
      <c r="H120" s="532"/>
      <c r="I120" s="192">
        <v>336</v>
      </c>
      <c r="J120" s="192"/>
      <c r="K120" s="192"/>
      <c r="L120" s="192"/>
      <c r="M120" s="192"/>
      <c r="N120" s="192"/>
      <c r="O120" s="192"/>
      <c r="P120" s="192"/>
      <c r="Q120" s="192"/>
      <c r="R120" s="192" t="s">
        <v>2091</v>
      </c>
      <c r="S120" s="192" t="s">
        <v>2091</v>
      </c>
      <c r="T120" s="388">
        <v>1.5</v>
      </c>
      <c r="U120" s="388">
        <v>1.2</v>
      </c>
      <c r="V120" s="388">
        <v>1.5</v>
      </c>
      <c r="W120" s="388">
        <v>1.5</v>
      </c>
      <c r="X120" s="382">
        <v>24</v>
      </c>
      <c r="Y120" s="382"/>
      <c r="Z120" s="382"/>
      <c r="AA120" s="382">
        <v>24</v>
      </c>
    </row>
    <row r="121" spans="1:27" ht="13.5">
      <c r="A121" s="767"/>
      <c r="B121" s="767"/>
      <c r="C121" s="194">
        <v>53</v>
      </c>
      <c r="D121" s="193" t="s">
        <v>203</v>
      </c>
      <c r="E121" s="763"/>
      <c r="F121" s="192" t="s">
        <v>111</v>
      </c>
      <c r="G121" s="391">
        <v>30.25</v>
      </c>
      <c r="H121" s="532"/>
      <c r="I121" s="192">
        <v>396</v>
      </c>
      <c r="J121" s="192"/>
      <c r="K121" s="192"/>
      <c r="L121" s="192"/>
      <c r="M121" s="192"/>
      <c r="N121" s="192"/>
      <c r="O121" s="192"/>
      <c r="P121" s="192"/>
      <c r="Q121" s="192"/>
      <c r="R121" s="192" t="s">
        <v>2091</v>
      </c>
      <c r="S121" s="192" t="s">
        <v>2091</v>
      </c>
      <c r="T121" s="388">
        <v>2</v>
      </c>
      <c r="U121" s="388">
        <v>2</v>
      </c>
      <c r="V121" s="388">
        <v>3</v>
      </c>
      <c r="W121" s="388">
        <v>2.5</v>
      </c>
      <c r="X121" s="382">
        <v>40</v>
      </c>
      <c r="Y121" s="382"/>
      <c r="Z121" s="382"/>
      <c r="AA121" s="382">
        <v>40</v>
      </c>
    </row>
    <row r="122" spans="1:27" ht="13.5">
      <c r="A122" s="767"/>
      <c r="B122" s="767"/>
      <c r="C122" s="194">
        <v>54</v>
      </c>
      <c r="D122" s="193" t="s">
        <v>204</v>
      </c>
      <c r="E122" s="763"/>
      <c r="F122" s="192" t="s">
        <v>111</v>
      </c>
      <c r="G122" s="535">
        <v>20.4</v>
      </c>
      <c r="H122" s="532"/>
      <c r="I122" s="397">
        <v>208</v>
      </c>
      <c r="J122" s="192"/>
      <c r="K122" s="192"/>
      <c r="L122" s="192"/>
      <c r="M122" s="192"/>
      <c r="N122" s="192"/>
      <c r="O122" s="192"/>
      <c r="P122" s="192"/>
      <c r="Q122" s="192"/>
      <c r="R122" s="192" t="s">
        <v>2091</v>
      </c>
      <c r="S122" s="192" t="s">
        <v>2091</v>
      </c>
      <c r="T122" s="388">
        <v>2</v>
      </c>
      <c r="U122" s="388">
        <v>2</v>
      </c>
      <c r="V122" s="388">
        <v>3</v>
      </c>
      <c r="W122" s="388">
        <v>2.5</v>
      </c>
      <c r="X122" s="382">
        <v>40</v>
      </c>
      <c r="Y122" s="382"/>
      <c r="Z122" s="382"/>
      <c r="AA122" s="382">
        <v>40</v>
      </c>
    </row>
    <row r="123" spans="1:27" ht="13.5">
      <c r="A123" s="767"/>
      <c r="B123" s="767"/>
      <c r="C123" s="194">
        <v>55</v>
      </c>
      <c r="D123" s="193" t="s">
        <v>171</v>
      </c>
      <c r="E123" s="763"/>
      <c r="F123" s="192" t="s">
        <v>111</v>
      </c>
      <c r="G123" s="388">
        <v>20.4</v>
      </c>
      <c r="H123" s="532"/>
      <c r="I123" s="192">
        <v>232</v>
      </c>
      <c r="J123" s="192"/>
      <c r="K123" s="192"/>
      <c r="L123" s="192"/>
      <c r="M123" s="192"/>
      <c r="N123" s="192"/>
      <c r="O123" s="192"/>
      <c r="P123" s="192"/>
      <c r="Q123" s="192"/>
      <c r="R123" s="192" t="s">
        <v>2091</v>
      </c>
      <c r="S123" s="192" t="s">
        <v>2091</v>
      </c>
      <c r="T123" s="388">
        <v>2</v>
      </c>
      <c r="U123" s="388">
        <v>1.5</v>
      </c>
      <c r="V123" s="388">
        <v>3</v>
      </c>
      <c r="W123" s="388">
        <v>2.5</v>
      </c>
      <c r="X123" s="382">
        <v>40</v>
      </c>
      <c r="Y123" s="382"/>
      <c r="Z123" s="382"/>
      <c r="AA123" s="382">
        <v>40</v>
      </c>
    </row>
    <row r="124" spans="1:27" ht="13.5">
      <c r="A124" s="767"/>
      <c r="B124" s="767"/>
      <c r="C124" s="194">
        <v>56</v>
      </c>
      <c r="D124" s="193" t="s">
        <v>205</v>
      </c>
      <c r="E124" s="763"/>
      <c r="F124" s="192" t="s">
        <v>111</v>
      </c>
      <c r="G124" s="388">
        <v>30.2</v>
      </c>
      <c r="H124" s="532"/>
      <c r="I124" s="192">
        <v>368</v>
      </c>
      <c r="J124" s="192"/>
      <c r="K124" s="192"/>
      <c r="L124" s="192"/>
      <c r="M124" s="192"/>
      <c r="N124" s="192"/>
      <c r="O124" s="192"/>
      <c r="P124" s="192"/>
      <c r="Q124" s="192"/>
      <c r="R124" s="192" t="s">
        <v>2091</v>
      </c>
      <c r="S124" s="192" t="s">
        <v>2091</v>
      </c>
      <c r="T124" s="388">
        <v>3</v>
      </c>
      <c r="U124" s="388">
        <v>2.8</v>
      </c>
      <c r="V124" s="388">
        <v>2</v>
      </c>
      <c r="W124" s="388">
        <v>2</v>
      </c>
      <c r="X124" s="382">
        <v>40</v>
      </c>
      <c r="Y124" s="382"/>
      <c r="Z124" s="382"/>
      <c r="AA124" s="382">
        <v>40</v>
      </c>
    </row>
    <row r="125" spans="1:27" ht="13.5">
      <c r="A125" s="767"/>
      <c r="B125" s="767"/>
      <c r="C125" s="194">
        <v>57</v>
      </c>
      <c r="D125" s="193" t="s">
        <v>206</v>
      </c>
      <c r="E125" s="763"/>
      <c r="F125" s="192" t="s">
        <v>111</v>
      </c>
      <c r="G125" s="388">
        <v>22.5</v>
      </c>
      <c r="H125" s="532"/>
      <c r="I125" s="192">
        <v>280</v>
      </c>
      <c r="J125" s="192"/>
      <c r="K125" s="192"/>
      <c r="L125" s="192"/>
      <c r="M125" s="192"/>
      <c r="N125" s="192"/>
      <c r="O125" s="192"/>
      <c r="P125" s="192"/>
      <c r="Q125" s="192"/>
      <c r="R125" s="192" t="s">
        <v>2091</v>
      </c>
      <c r="S125" s="192" t="s">
        <v>2091</v>
      </c>
      <c r="T125" s="388">
        <v>0.4</v>
      </c>
      <c r="U125" s="388">
        <v>0.3</v>
      </c>
      <c r="V125" s="388">
        <v>0.2</v>
      </c>
      <c r="W125" s="388">
        <v>0.2</v>
      </c>
      <c r="X125" s="382">
        <v>4.8</v>
      </c>
      <c r="Y125" s="382"/>
      <c r="Z125" s="382"/>
      <c r="AA125" s="382">
        <v>4.8</v>
      </c>
    </row>
    <row r="126" spans="1:27" ht="13.5">
      <c r="A126" s="767"/>
      <c r="B126" s="767"/>
      <c r="C126" s="194">
        <v>58</v>
      </c>
      <c r="D126" s="394" t="s">
        <v>207</v>
      </c>
      <c r="E126" s="763"/>
      <c r="F126" s="192" t="s">
        <v>111</v>
      </c>
      <c r="G126" s="388">
        <v>20.41</v>
      </c>
      <c r="H126" s="532"/>
      <c r="I126" s="192">
        <v>200</v>
      </c>
      <c r="J126" s="192"/>
      <c r="K126" s="192"/>
      <c r="L126" s="192"/>
      <c r="M126" s="192"/>
      <c r="N126" s="192"/>
      <c r="O126" s="192"/>
      <c r="P126" s="192"/>
      <c r="Q126" s="192"/>
      <c r="R126" s="192" t="s">
        <v>2091</v>
      </c>
      <c r="S126" s="192" t="s">
        <v>2091</v>
      </c>
      <c r="T126" s="388">
        <v>0.4</v>
      </c>
      <c r="U126" s="388">
        <v>0.3</v>
      </c>
      <c r="V126" s="388">
        <v>0.1</v>
      </c>
      <c r="W126" s="388">
        <v>0.1</v>
      </c>
      <c r="X126" s="382">
        <v>4</v>
      </c>
      <c r="Y126" s="382"/>
      <c r="Z126" s="382"/>
      <c r="AA126" s="382">
        <v>4</v>
      </c>
    </row>
    <row r="127" spans="1:27" ht="13.5">
      <c r="A127" s="767"/>
      <c r="B127" s="767"/>
      <c r="C127" s="194">
        <v>59</v>
      </c>
      <c r="D127" s="193" t="s">
        <v>208</v>
      </c>
      <c r="E127" s="763"/>
      <c r="F127" s="192" t="s">
        <v>111</v>
      </c>
      <c r="G127" s="388">
        <v>21.3</v>
      </c>
      <c r="H127" s="532"/>
      <c r="I127" s="192">
        <v>250</v>
      </c>
      <c r="J127" s="192"/>
      <c r="K127" s="192"/>
      <c r="L127" s="192"/>
      <c r="M127" s="192"/>
      <c r="N127" s="192"/>
      <c r="O127" s="192"/>
      <c r="P127" s="192"/>
      <c r="Q127" s="192"/>
      <c r="R127" s="192" t="s">
        <v>2091</v>
      </c>
      <c r="S127" s="192" t="s">
        <v>2091</v>
      </c>
      <c r="T127" s="388">
        <v>0.4</v>
      </c>
      <c r="U127" s="388">
        <v>0.3</v>
      </c>
      <c r="V127" s="388">
        <v>0.2</v>
      </c>
      <c r="W127" s="388">
        <v>0.2</v>
      </c>
      <c r="X127" s="382">
        <v>4.8</v>
      </c>
      <c r="Y127" s="382"/>
      <c r="Z127" s="382"/>
      <c r="AA127" s="382">
        <v>4.8</v>
      </c>
    </row>
    <row r="128" spans="1:27" ht="13.5">
      <c r="A128" s="767"/>
      <c r="B128" s="767"/>
      <c r="C128" s="194">
        <v>60</v>
      </c>
      <c r="D128" s="193" t="s">
        <v>209</v>
      </c>
      <c r="E128" s="763"/>
      <c r="F128" s="192" t="s">
        <v>111</v>
      </c>
      <c r="G128" s="388">
        <v>30.5</v>
      </c>
      <c r="H128" s="532"/>
      <c r="I128" s="192">
        <v>400</v>
      </c>
      <c r="J128" s="192"/>
      <c r="K128" s="192"/>
      <c r="L128" s="192"/>
      <c r="M128" s="192"/>
      <c r="N128" s="192"/>
      <c r="O128" s="192"/>
      <c r="P128" s="192"/>
      <c r="Q128" s="192"/>
      <c r="R128" s="192" t="s">
        <v>2091</v>
      </c>
      <c r="S128" s="192" t="s">
        <v>2091</v>
      </c>
      <c r="T128" s="388">
        <v>0.4</v>
      </c>
      <c r="U128" s="388">
        <v>0.3</v>
      </c>
      <c r="V128" s="388">
        <v>0.2</v>
      </c>
      <c r="W128" s="388">
        <v>0.2</v>
      </c>
      <c r="X128" s="382">
        <v>4.8</v>
      </c>
      <c r="Y128" s="382"/>
      <c r="Z128" s="382"/>
      <c r="AA128" s="382">
        <v>4.8</v>
      </c>
    </row>
    <row r="129" spans="1:27" ht="13.5">
      <c r="A129" s="767"/>
      <c r="B129" s="767"/>
      <c r="C129" s="194">
        <v>61</v>
      </c>
      <c r="D129" s="193" t="s">
        <v>210</v>
      </c>
      <c r="E129" s="763"/>
      <c r="F129" s="192" t="s">
        <v>111</v>
      </c>
      <c r="G129" s="388">
        <v>35.2</v>
      </c>
      <c r="H129" s="532"/>
      <c r="I129" s="192">
        <v>450</v>
      </c>
      <c r="J129" s="192"/>
      <c r="K129" s="192"/>
      <c r="L129" s="192"/>
      <c r="M129" s="192"/>
      <c r="N129" s="192"/>
      <c r="O129" s="192"/>
      <c r="P129" s="192"/>
      <c r="Q129" s="192"/>
      <c r="R129" s="192" t="s">
        <v>2091</v>
      </c>
      <c r="S129" s="192" t="s">
        <v>2091</v>
      </c>
      <c r="T129" s="388">
        <v>0.3</v>
      </c>
      <c r="U129" s="388">
        <v>0.3</v>
      </c>
      <c r="V129" s="388">
        <v>0.2</v>
      </c>
      <c r="W129" s="388">
        <v>0.2</v>
      </c>
      <c r="X129" s="382">
        <v>4</v>
      </c>
      <c r="Y129" s="382"/>
      <c r="Z129" s="382"/>
      <c r="AA129" s="382">
        <v>4</v>
      </c>
    </row>
    <row r="130" spans="1:27" ht="13.5">
      <c r="A130" s="767"/>
      <c r="B130" s="767"/>
      <c r="C130" s="194">
        <v>62</v>
      </c>
      <c r="D130" s="193" t="s">
        <v>211</v>
      </c>
      <c r="E130" s="764"/>
      <c r="F130" s="192" t="s">
        <v>111</v>
      </c>
      <c r="G130" s="388">
        <v>20.56</v>
      </c>
      <c r="H130" s="532"/>
      <c r="I130" s="192">
        <v>255</v>
      </c>
      <c r="J130" s="192"/>
      <c r="K130" s="192"/>
      <c r="L130" s="192"/>
      <c r="M130" s="192"/>
      <c r="N130" s="192"/>
      <c r="O130" s="192"/>
      <c r="P130" s="192"/>
      <c r="Q130" s="192"/>
      <c r="R130" s="192" t="s">
        <v>2091</v>
      </c>
      <c r="S130" s="192" t="s">
        <v>2091</v>
      </c>
      <c r="T130" s="388">
        <v>0.4</v>
      </c>
      <c r="U130" s="388">
        <v>0.3</v>
      </c>
      <c r="V130" s="388">
        <v>0.2</v>
      </c>
      <c r="W130" s="388">
        <v>0.2</v>
      </c>
      <c r="X130" s="382">
        <v>4.8</v>
      </c>
      <c r="Y130" s="382"/>
      <c r="Z130" s="382"/>
      <c r="AA130" s="382">
        <v>4.8</v>
      </c>
    </row>
    <row r="131" spans="1:27" ht="21">
      <c r="A131" s="767"/>
      <c r="B131" s="767"/>
      <c r="C131" s="386" t="s">
        <v>212</v>
      </c>
      <c r="D131" s="392">
        <v>32</v>
      </c>
      <c r="E131" s="377">
        <v>1</v>
      </c>
      <c r="F131" s="377"/>
      <c r="G131" s="377">
        <f>SUM(G132:G163)</f>
        <v>1214.9</v>
      </c>
      <c r="H131" s="377"/>
      <c r="I131" s="377">
        <f>SUM(I132:I163)</f>
        <v>14271</v>
      </c>
      <c r="J131" s="377">
        <f>SUM(J132:J163)</f>
        <v>4241</v>
      </c>
      <c r="K131" s="377"/>
      <c r="L131" s="377"/>
      <c r="M131" s="377"/>
      <c r="N131" s="377"/>
      <c r="O131" s="377"/>
      <c r="P131" s="377"/>
      <c r="Q131" s="377"/>
      <c r="R131" s="192" t="s">
        <v>2091</v>
      </c>
      <c r="S131" s="192" t="s">
        <v>2091</v>
      </c>
      <c r="T131" s="377">
        <f>SUM(T132:T163)</f>
        <v>115.82000000000001</v>
      </c>
      <c r="U131" s="377">
        <f>SUM(U132:U163)</f>
        <v>115.82000000000001</v>
      </c>
      <c r="V131" s="378">
        <f>SUM(V132:V163)</f>
        <v>164.62600000000003</v>
      </c>
      <c r="W131" s="378">
        <f>SUM(W132:W163)</f>
        <v>107.1919</v>
      </c>
      <c r="X131" s="378">
        <f>SUM(X132:X163)</f>
        <v>927.6150000000002</v>
      </c>
      <c r="Y131" s="378"/>
      <c r="Z131" s="378"/>
      <c r="AA131" s="378">
        <f>SUM(AA132:AA163)</f>
        <v>927.6150000000002</v>
      </c>
    </row>
    <row r="132" spans="1:27" ht="21">
      <c r="A132" s="767"/>
      <c r="B132" s="767"/>
      <c r="C132" s="194">
        <v>1</v>
      </c>
      <c r="D132" s="193" t="s">
        <v>213</v>
      </c>
      <c r="E132" s="762" t="s">
        <v>110</v>
      </c>
      <c r="F132" s="192" t="s">
        <v>111</v>
      </c>
      <c r="G132" s="193">
        <v>45</v>
      </c>
      <c r="H132" s="192"/>
      <c r="I132" s="193">
        <v>600</v>
      </c>
      <c r="J132" s="192"/>
      <c r="K132" s="192" t="s">
        <v>111</v>
      </c>
      <c r="L132" s="192"/>
      <c r="M132" s="192"/>
      <c r="N132" s="192"/>
      <c r="O132" s="192"/>
      <c r="P132" s="192"/>
      <c r="Q132" s="192"/>
      <c r="R132" s="192" t="s">
        <v>2091</v>
      </c>
      <c r="S132" s="192" t="s">
        <v>2091</v>
      </c>
      <c r="T132" s="398">
        <v>1.87</v>
      </c>
      <c r="U132" s="399">
        <v>1.87</v>
      </c>
      <c r="V132" s="380">
        <v>5.1</v>
      </c>
      <c r="W132" s="382">
        <v>3.5</v>
      </c>
      <c r="X132" s="381">
        <f aca="true" t="shared" si="5" ref="X132:X163">I132*0.065</f>
        <v>39</v>
      </c>
      <c r="Y132" s="192"/>
      <c r="Z132" s="192"/>
      <c r="AA132" s="381">
        <f aca="true" t="shared" si="6" ref="AA132:AA163">I132*0.065</f>
        <v>39</v>
      </c>
    </row>
    <row r="133" spans="1:27" ht="13.5">
      <c r="A133" s="767"/>
      <c r="B133" s="767"/>
      <c r="C133" s="194">
        <v>2</v>
      </c>
      <c r="D133" s="193" t="s">
        <v>214</v>
      </c>
      <c r="E133" s="763"/>
      <c r="F133" s="192" t="s">
        <v>111</v>
      </c>
      <c r="G133" s="193">
        <v>65</v>
      </c>
      <c r="H133" s="192"/>
      <c r="I133" s="193">
        <v>525</v>
      </c>
      <c r="J133" s="192"/>
      <c r="K133" s="192" t="s">
        <v>111</v>
      </c>
      <c r="L133" s="192"/>
      <c r="M133" s="192"/>
      <c r="N133" s="192"/>
      <c r="O133" s="192"/>
      <c r="P133" s="192"/>
      <c r="Q133" s="192"/>
      <c r="R133" s="192" t="s">
        <v>2091</v>
      </c>
      <c r="S133" s="192" t="s">
        <v>2091</v>
      </c>
      <c r="T133" s="398">
        <v>0.85</v>
      </c>
      <c r="U133" s="399">
        <v>0.85</v>
      </c>
      <c r="V133" s="380">
        <f aca="true" t="shared" si="7" ref="V133:V163">(I133/5*30+2500)/1000</f>
        <v>5.65</v>
      </c>
      <c r="W133" s="382">
        <f aca="true" t="shared" si="8" ref="W133:W163">V133*0.65</f>
        <v>3.6725000000000003</v>
      </c>
      <c r="X133" s="381">
        <f t="shared" si="5"/>
        <v>34.125</v>
      </c>
      <c r="Y133" s="192"/>
      <c r="Z133" s="192"/>
      <c r="AA133" s="381">
        <f t="shared" si="6"/>
        <v>34.125</v>
      </c>
    </row>
    <row r="134" spans="1:27" ht="13.5">
      <c r="A134" s="767"/>
      <c r="B134" s="767"/>
      <c r="C134" s="194">
        <v>3</v>
      </c>
      <c r="D134" s="193" t="s">
        <v>215</v>
      </c>
      <c r="E134" s="763"/>
      <c r="F134" s="192" t="s">
        <v>111</v>
      </c>
      <c r="G134" s="193">
        <v>72.5</v>
      </c>
      <c r="H134" s="192"/>
      <c r="I134" s="193">
        <v>697</v>
      </c>
      <c r="J134" s="192"/>
      <c r="K134" s="192" t="s">
        <v>111</v>
      </c>
      <c r="L134" s="192"/>
      <c r="M134" s="192"/>
      <c r="N134" s="192"/>
      <c r="O134" s="192"/>
      <c r="P134" s="192"/>
      <c r="Q134" s="192"/>
      <c r="R134" s="192" t="s">
        <v>2091</v>
      </c>
      <c r="S134" s="192" t="s">
        <v>2091</v>
      </c>
      <c r="T134" s="398">
        <v>0.95</v>
      </c>
      <c r="U134" s="399">
        <v>0.95</v>
      </c>
      <c r="V134" s="380">
        <f t="shared" si="7"/>
        <v>6.682</v>
      </c>
      <c r="W134" s="382">
        <f t="shared" si="8"/>
        <v>4.3433</v>
      </c>
      <c r="X134" s="381">
        <f t="shared" si="5"/>
        <v>45.305</v>
      </c>
      <c r="Y134" s="192"/>
      <c r="Z134" s="192"/>
      <c r="AA134" s="381">
        <f t="shared" si="6"/>
        <v>45.305</v>
      </c>
    </row>
    <row r="135" spans="1:27" ht="21">
      <c r="A135" s="767"/>
      <c r="B135" s="767"/>
      <c r="C135" s="194">
        <v>4</v>
      </c>
      <c r="D135" s="193" t="s">
        <v>216</v>
      </c>
      <c r="E135" s="763"/>
      <c r="F135" s="192" t="s">
        <v>116</v>
      </c>
      <c r="G135" s="193">
        <v>45</v>
      </c>
      <c r="H135" s="192">
        <v>45</v>
      </c>
      <c r="I135" s="193">
        <v>469</v>
      </c>
      <c r="J135" s="192">
        <v>469</v>
      </c>
      <c r="K135" s="192" t="s">
        <v>116</v>
      </c>
      <c r="L135" s="192"/>
      <c r="M135" s="192"/>
      <c r="N135" s="192"/>
      <c r="O135" s="192"/>
      <c r="P135" s="192"/>
      <c r="Q135" s="192"/>
      <c r="R135" s="192" t="s">
        <v>2091</v>
      </c>
      <c r="S135" s="192" t="s">
        <v>2091</v>
      </c>
      <c r="T135" s="398">
        <v>0.65</v>
      </c>
      <c r="U135" s="399">
        <v>0.65</v>
      </c>
      <c r="V135" s="380">
        <f t="shared" si="7"/>
        <v>5.314</v>
      </c>
      <c r="W135" s="382">
        <f t="shared" si="8"/>
        <v>3.4541</v>
      </c>
      <c r="X135" s="381">
        <f t="shared" si="5"/>
        <v>30.485</v>
      </c>
      <c r="Y135" s="192"/>
      <c r="Z135" s="192"/>
      <c r="AA135" s="381">
        <f t="shared" si="6"/>
        <v>30.485</v>
      </c>
    </row>
    <row r="136" spans="1:27" ht="13.5">
      <c r="A136" s="767"/>
      <c r="B136" s="767"/>
      <c r="C136" s="194">
        <v>5</v>
      </c>
      <c r="D136" s="193" t="s">
        <v>217</v>
      </c>
      <c r="E136" s="763"/>
      <c r="F136" s="192" t="s">
        <v>111</v>
      </c>
      <c r="G136" s="193">
        <v>55</v>
      </c>
      <c r="H136" s="192"/>
      <c r="I136" s="193">
        <v>586</v>
      </c>
      <c r="J136" s="192"/>
      <c r="K136" s="192" t="s">
        <v>111</v>
      </c>
      <c r="L136" s="192"/>
      <c r="M136" s="192"/>
      <c r="N136" s="192"/>
      <c r="O136" s="192"/>
      <c r="P136" s="192"/>
      <c r="Q136" s="192"/>
      <c r="R136" s="192" t="s">
        <v>2091</v>
      </c>
      <c r="S136" s="192" t="s">
        <v>2091</v>
      </c>
      <c r="T136" s="398">
        <v>4.25</v>
      </c>
      <c r="U136" s="399">
        <v>4.25</v>
      </c>
      <c r="V136" s="380">
        <f t="shared" si="7"/>
        <v>6.016</v>
      </c>
      <c r="W136" s="382">
        <f t="shared" si="8"/>
        <v>3.9104</v>
      </c>
      <c r="X136" s="381">
        <f t="shared" si="5"/>
        <v>38.09</v>
      </c>
      <c r="Y136" s="192"/>
      <c r="Z136" s="192"/>
      <c r="AA136" s="381">
        <f t="shared" si="6"/>
        <v>38.09</v>
      </c>
    </row>
    <row r="137" spans="1:27" ht="13.5">
      <c r="A137" s="767"/>
      <c r="B137" s="767"/>
      <c r="C137" s="194">
        <v>6</v>
      </c>
      <c r="D137" s="193" t="s">
        <v>218</v>
      </c>
      <c r="E137" s="763"/>
      <c r="F137" s="192" t="s">
        <v>116</v>
      </c>
      <c r="G137" s="193">
        <v>41.3</v>
      </c>
      <c r="H137" s="192">
        <v>41.3</v>
      </c>
      <c r="I137" s="193">
        <v>462</v>
      </c>
      <c r="J137" s="192">
        <v>462</v>
      </c>
      <c r="K137" s="192" t="s">
        <v>116</v>
      </c>
      <c r="L137" s="192"/>
      <c r="M137" s="192"/>
      <c r="N137" s="192"/>
      <c r="O137" s="192"/>
      <c r="P137" s="192"/>
      <c r="Q137" s="192"/>
      <c r="R137" s="192" t="s">
        <v>2091</v>
      </c>
      <c r="S137" s="192" t="s">
        <v>2091</v>
      </c>
      <c r="T137" s="398">
        <v>2.55</v>
      </c>
      <c r="U137" s="399">
        <v>2.55</v>
      </c>
      <c r="V137" s="380">
        <f t="shared" si="7"/>
        <v>5.272</v>
      </c>
      <c r="W137" s="382">
        <f t="shared" si="8"/>
        <v>3.4268</v>
      </c>
      <c r="X137" s="381">
        <f t="shared" si="5"/>
        <v>30.03</v>
      </c>
      <c r="Y137" s="192"/>
      <c r="Z137" s="192"/>
      <c r="AA137" s="381">
        <f t="shared" si="6"/>
        <v>30.03</v>
      </c>
    </row>
    <row r="138" spans="1:27" ht="13.5">
      <c r="A138" s="767"/>
      <c r="B138" s="767"/>
      <c r="C138" s="194">
        <v>7</v>
      </c>
      <c r="D138" s="193" t="s">
        <v>219</v>
      </c>
      <c r="E138" s="763"/>
      <c r="F138" s="192" t="s">
        <v>116</v>
      </c>
      <c r="G138" s="193">
        <v>48.8</v>
      </c>
      <c r="H138" s="192">
        <v>48.8</v>
      </c>
      <c r="I138" s="193">
        <v>527</v>
      </c>
      <c r="J138" s="192">
        <v>527</v>
      </c>
      <c r="K138" s="192" t="s">
        <v>116</v>
      </c>
      <c r="L138" s="192"/>
      <c r="M138" s="192"/>
      <c r="N138" s="192"/>
      <c r="O138" s="192"/>
      <c r="P138" s="192"/>
      <c r="Q138" s="192"/>
      <c r="R138" s="192" t="s">
        <v>2091</v>
      </c>
      <c r="S138" s="192" t="s">
        <v>2091</v>
      </c>
      <c r="T138" s="398">
        <v>3.55</v>
      </c>
      <c r="U138" s="399">
        <v>3.55</v>
      </c>
      <c r="V138" s="380">
        <f t="shared" si="7"/>
        <v>5.662</v>
      </c>
      <c r="W138" s="382">
        <f t="shared" si="8"/>
        <v>3.6803</v>
      </c>
      <c r="X138" s="381">
        <f t="shared" si="5"/>
        <v>34.255</v>
      </c>
      <c r="Y138" s="192"/>
      <c r="Z138" s="192"/>
      <c r="AA138" s="381">
        <f t="shared" si="6"/>
        <v>34.255</v>
      </c>
    </row>
    <row r="139" spans="1:27" ht="13.5">
      <c r="A139" s="767"/>
      <c r="B139" s="767"/>
      <c r="C139" s="194">
        <v>8</v>
      </c>
      <c r="D139" s="193" t="s">
        <v>220</v>
      </c>
      <c r="E139" s="763"/>
      <c r="F139" s="192" t="s">
        <v>111</v>
      </c>
      <c r="G139" s="193">
        <v>56.2</v>
      </c>
      <c r="H139" s="192"/>
      <c r="I139" s="193">
        <v>650</v>
      </c>
      <c r="J139" s="192"/>
      <c r="K139" s="192" t="s">
        <v>111</v>
      </c>
      <c r="L139" s="192"/>
      <c r="M139" s="192"/>
      <c r="N139" s="192"/>
      <c r="O139" s="192"/>
      <c r="P139" s="192"/>
      <c r="Q139" s="192"/>
      <c r="R139" s="192" t="s">
        <v>2091</v>
      </c>
      <c r="S139" s="192" t="s">
        <v>2091</v>
      </c>
      <c r="T139" s="398">
        <v>4.25</v>
      </c>
      <c r="U139" s="399">
        <v>4.25</v>
      </c>
      <c r="V139" s="380">
        <f t="shared" si="7"/>
        <v>6.4</v>
      </c>
      <c r="W139" s="382">
        <f t="shared" si="8"/>
        <v>4.16</v>
      </c>
      <c r="X139" s="381">
        <f t="shared" si="5"/>
        <v>42.25</v>
      </c>
      <c r="Y139" s="192"/>
      <c r="Z139" s="192"/>
      <c r="AA139" s="381">
        <f t="shared" si="6"/>
        <v>42.25</v>
      </c>
    </row>
    <row r="140" spans="1:27" ht="21">
      <c r="A140" s="767"/>
      <c r="B140" s="767"/>
      <c r="C140" s="194">
        <v>9</v>
      </c>
      <c r="D140" s="193" t="s">
        <v>221</v>
      </c>
      <c r="E140" s="763"/>
      <c r="F140" s="192" t="s">
        <v>111</v>
      </c>
      <c r="G140" s="193">
        <v>26.3</v>
      </c>
      <c r="H140" s="192"/>
      <c r="I140" s="193">
        <v>266</v>
      </c>
      <c r="J140" s="192"/>
      <c r="K140" s="192" t="s">
        <v>111</v>
      </c>
      <c r="L140" s="192"/>
      <c r="M140" s="192"/>
      <c r="N140" s="192"/>
      <c r="O140" s="192"/>
      <c r="P140" s="192"/>
      <c r="Q140" s="192"/>
      <c r="R140" s="192" t="s">
        <v>2091</v>
      </c>
      <c r="S140" s="192" t="s">
        <v>2091</v>
      </c>
      <c r="T140" s="398">
        <v>3.5</v>
      </c>
      <c r="U140" s="399">
        <v>3.5</v>
      </c>
      <c r="V140" s="380">
        <f t="shared" si="7"/>
        <v>4.096</v>
      </c>
      <c r="W140" s="382">
        <f t="shared" si="8"/>
        <v>2.6624000000000003</v>
      </c>
      <c r="X140" s="381">
        <f t="shared" si="5"/>
        <v>17.29</v>
      </c>
      <c r="Y140" s="192"/>
      <c r="Z140" s="192"/>
      <c r="AA140" s="381">
        <f t="shared" si="6"/>
        <v>17.29</v>
      </c>
    </row>
    <row r="141" spans="1:27" ht="21">
      <c r="A141" s="767"/>
      <c r="B141" s="767"/>
      <c r="C141" s="194">
        <v>10</v>
      </c>
      <c r="D141" s="193" t="s">
        <v>222</v>
      </c>
      <c r="E141" s="763"/>
      <c r="F141" s="192" t="s">
        <v>111</v>
      </c>
      <c r="G141" s="193">
        <v>37.8</v>
      </c>
      <c r="H141" s="192"/>
      <c r="I141" s="193">
        <v>370</v>
      </c>
      <c r="J141" s="192"/>
      <c r="K141" s="192" t="s">
        <v>111</v>
      </c>
      <c r="L141" s="192"/>
      <c r="M141" s="192"/>
      <c r="N141" s="192"/>
      <c r="O141" s="192"/>
      <c r="P141" s="192"/>
      <c r="Q141" s="192"/>
      <c r="R141" s="192" t="s">
        <v>2091</v>
      </c>
      <c r="S141" s="192" t="s">
        <v>2091</v>
      </c>
      <c r="T141" s="398">
        <v>3.2</v>
      </c>
      <c r="U141" s="399">
        <v>3.2</v>
      </c>
      <c r="V141" s="380">
        <f t="shared" si="7"/>
        <v>4.72</v>
      </c>
      <c r="W141" s="382">
        <f t="shared" si="8"/>
        <v>3.068</v>
      </c>
      <c r="X141" s="381">
        <f t="shared" si="5"/>
        <v>24.05</v>
      </c>
      <c r="Y141" s="192"/>
      <c r="Z141" s="192"/>
      <c r="AA141" s="381">
        <f t="shared" si="6"/>
        <v>24.05</v>
      </c>
    </row>
    <row r="142" spans="1:27" ht="21">
      <c r="A142" s="767"/>
      <c r="B142" s="767"/>
      <c r="C142" s="194">
        <v>11</v>
      </c>
      <c r="D142" s="193" t="s">
        <v>223</v>
      </c>
      <c r="E142" s="763"/>
      <c r="F142" s="192" t="s">
        <v>111</v>
      </c>
      <c r="G142" s="193">
        <v>31.5</v>
      </c>
      <c r="H142" s="192"/>
      <c r="I142" s="193">
        <v>326</v>
      </c>
      <c r="J142" s="192"/>
      <c r="K142" s="192" t="s">
        <v>111</v>
      </c>
      <c r="L142" s="192"/>
      <c r="M142" s="192"/>
      <c r="N142" s="192"/>
      <c r="O142" s="192"/>
      <c r="P142" s="192"/>
      <c r="Q142" s="192"/>
      <c r="R142" s="192" t="s">
        <v>2091</v>
      </c>
      <c r="S142" s="192" t="s">
        <v>2091</v>
      </c>
      <c r="T142" s="398">
        <v>4.5</v>
      </c>
      <c r="U142" s="399">
        <v>4.5</v>
      </c>
      <c r="V142" s="380">
        <f t="shared" si="7"/>
        <v>4.456</v>
      </c>
      <c r="W142" s="382">
        <f t="shared" si="8"/>
        <v>2.8964000000000003</v>
      </c>
      <c r="X142" s="381">
        <f t="shared" si="5"/>
        <v>21.19</v>
      </c>
      <c r="Y142" s="192"/>
      <c r="Z142" s="192"/>
      <c r="AA142" s="381">
        <f t="shared" si="6"/>
        <v>21.19</v>
      </c>
    </row>
    <row r="143" spans="1:27" ht="21">
      <c r="A143" s="767"/>
      <c r="B143" s="767"/>
      <c r="C143" s="194">
        <v>12</v>
      </c>
      <c r="D143" s="193" t="s">
        <v>224</v>
      </c>
      <c r="E143" s="763"/>
      <c r="F143" s="192" t="s">
        <v>111</v>
      </c>
      <c r="G143" s="193">
        <v>41.3</v>
      </c>
      <c r="H143" s="192"/>
      <c r="I143" s="193">
        <v>439</v>
      </c>
      <c r="J143" s="192"/>
      <c r="K143" s="192" t="s">
        <v>111</v>
      </c>
      <c r="L143" s="192"/>
      <c r="M143" s="192"/>
      <c r="N143" s="192"/>
      <c r="O143" s="192"/>
      <c r="P143" s="192"/>
      <c r="Q143" s="192"/>
      <c r="R143" s="192" t="s">
        <v>2091</v>
      </c>
      <c r="S143" s="192" t="s">
        <v>2091</v>
      </c>
      <c r="T143" s="398">
        <v>4.3</v>
      </c>
      <c r="U143" s="399">
        <v>4.3</v>
      </c>
      <c r="V143" s="380">
        <f t="shared" si="7"/>
        <v>5.134</v>
      </c>
      <c r="W143" s="382">
        <f t="shared" si="8"/>
        <v>3.3371000000000004</v>
      </c>
      <c r="X143" s="381">
        <f t="shared" si="5"/>
        <v>28.535</v>
      </c>
      <c r="Y143" s="192"/>
      <c r="Z143" s="192"/>
      <c r="AA143" s="381">
        <f t="shared" si="6"/>
        <v>28.535</v>
      </c>
    </row>
    <row r="144" spans="1:27" ht="21">
      <c r="A144" s="767"/>
      <c r="B144" s="767"/>
      <c r="C144" s="194">
        <v>13</v>
      </c>
      <c r="D144" s="193" t="s">
        <v>225</v>
      </c>
      <c r="E144" s="763"/>
      <c r="F144" s="192" t="s">
        <v>111</v>
      </c>
      <c r="G144" s="193">
        <v>33.8</v>
      </c>
      <c r="H144" s="192"/>
      <c r="I144" s="193">
        <v>378</v>
      </c>
      <c r="J144" s="192"/>
      <c r="K144" s="192" t="s">
        <v>111</v>
      </c>
      <c r="L144" s="192"/>
      <c r="M144" s="192"/>
      <c r="N144" s="192"/>
      <c r="O144" s="192"/>
      <c r="P144" s="192"/>
      <c r="Q144" s="192"/>
      <c r="R144" s="192" t="s">
        <v>2091</v>
      </c>
      <c r="S144" s="192" t="s">
        <v>2091</v>
      </c>
      <c r="T144" s="398">
        <v>1.5</v>
      </c>
      <c r="U144" s="399">
        <v>1.5</v>
      </c>
      <c r="V144" s="380">
        <f t="shared" si="7"/>
        <v>4.768</v>
      </c>
      <c r="W144" s="382">
        <f t="shared" si="8"/>
        <v>3.0992</v>
      </c>
      <c r="X144" s="381">
        <f t="shared" si="5"/>
        <v>24.57</v>
      </c>
      <c r="Y144" s="192"/>
      <c r="Z144" s="192"/>
      <c r="AA144" s="381">
        <f t="shared" si="6"/>
        <v>24.57</v>
      </c>
    </row>
    <row r="145" spans="1:27" ht="21">
      <c r="A145" s="767"/>
      <c r="B145" s="767"/>
      <c r="C145" s="194">
        <v>14</v>
      </c>
      <c r="D145" s="193" t="s">
        <v>226</v>
      </c>
      <c r="E145" s="763"/>
      <c r="F145" s="192" t="s">
        <v>111</v>
      </c>
      <c r="G145" s="193">
        <v>26.6</v>
      </c>
      <c r="H145" s="192"/>
      <c r="I145" s="193">
        <v>318</v>
      </c>
      <c r="J145" s="192"/>
      <c r="K145" s="192" t="s">
        <v>111</v>
      </c>
      <c r="L145" s="192"/>
      <c r="M145" s="192"/>
      <c r="N145" s="192"/>
      <c r="O145" s="192"/>
      <c r="P145" s="192"/>
      <c r="Q145" s="192"/>
      <c r="R145" s="192" t="s">
        <v>2091</v>
      </c>
      <c r="S145" s="192" t="s">
        <v>2091</v>
      </c>
      <c r="T145" s="398">
        <v>1.5</v>
      </c>
      <c r="U145" s="399">
        <v>1.5</v>
      </c>
      <c r="V145" s="380">
        <f t="shared" si="7"/>
        <v>4.408</v>
      </c>
      <c r="W145" s="382">
        <f t="shared" si="8"/>
        <v>2.8652</v>
      </c>
      <c r="X145" s="381">
        <f t="shared" si="5"/>
        <v>20.67</v>
      </c>
      <c r="Y145" s="192"/>
      <c r="Z145" s="192"/>
      <c r="AA145" s="381">
        <f t="shared" si="6"/>
        <v>20.67</v>
      </c>
    </row>
    <row r="146" spans="1:27" ht="21">
      <c r="A146" s="767"/>
      <c r="B146" s="767"/>
      <c r="C146" s="194">
        <v>15</v>
      </c>
      <c r="D146" s="193" t="s">
        <v>227</v>
      </c>
      <c r="E146" s="763"/>
      <c r="F146" s="192" t="s">
        <v>111</v>
      </c>
      <c r="G146" s="193">
        <v>24</v>
      </c>
      <c r="H146" s="192"/>
      <c r="I146" s="193">
        <v>262</v>
      </c>
      <c r="J146" s="192"/>
      <c r="K146" s="192" t="s">
        <v>111</v>
      </c>
      <c r="L146" s="192"/>
      <c r="M146" s="192"/>
      <c r="N146" s="192"/>
      <c r="O146" s="192"/>
      <c r="P146" s="192"/>
      <c r="Q146" s="192"/>
      <c r="R146" s="192" t="s">
        <v>2091</v>
      </c>
      <c r="S146" s="192" t="s">
        <v>2091</v>
      </c>
      <c r="T146" s="398">
        <v>2.5</v>
      </c>
      <c r="U146" s="399">
        <v>2.5</v>
      </c>
      <c r="V146" s="380">
        <f t="shared" si="7"/>
        <v>4.072</v>
      </c>
      <c r="W146" s="382">
        <f t="shared" si="8"/>
        <v>2.6468000000000003</v>
      </c>
      <c r="X146" s="381">
        <f t="shared" si="5"/>
        <v>17.03</v>
      </c>
      <c r="Y146" s="192"/>
      <c r="Z146" s="192"/>
      <c r="AA146" s="381">
        <f t="shared" si="6"/>
        <v>17.03</v>
      </c>
    </row>
    <row r="147" spans="1:27" ht="21">
      <c r="A147" s="767"/>
      <c r="B147" s="767"/>
      <c r="C147" s="194">
        <v>16</v>
      </c>
      <c r="D147" s="193" t="s">
        <v>228</v>
      </c>
      <c r="E147" s="763"/>
      <c r="F147" s="192" t="s">
        <v>111</v>
      </c>
      <c r="G147" s="193">
        <v>26.3</v>
      </c>
      <c r="H147" s="192"/>
      <c r="I147" s="193">
        <v>309</v>
      </c>
      <c r="J147" s="192"/>
      <c r="K147" s="192" t="s">
        <v>111</v>
      </c>
      <c r="L147" s="192"/>
      <c r="M147" s="192"/>
      <c r="N147" s="192"/>
      <c r="O147" s="192"/>
      <c r="P147" s="192"/>
      <c r="Q147" s="192"/>
      <c r="R147" s="192" t="s">
        <v>2091</v>
      </c>
      <c r="S147" s="192" t="s">
        <v>2091</v>
      </c>
      <c r="T147" s="398">
        <v>3.2</v>
      </c>
      <c r="U147" s="399">
        <v>3.2</v>
      </c>
      <c r="V147" s="380">
        <f t="shared" si="7"/>
        <v>4.354</v>
      </c>
      <c r="W147" s="382">
        <f t="shared" si="8"/>
        <v>2.8301000000000003</v>
      </c>
      <c r="X147" s="381">
        <f t="shared" si="5"/>
        <v>20.085</v>
      </c>
      <c r="Y147" s="192"/>
      <c r="Z147" s="192"/>
      <c r="AA147" s="381">
        <f t="shared" si="6"/>
        <v>20.085</v>
      </c>
    </row>
    <row r="148" spans="1:27" ht="21">
      <c r="A148" s="767"/>
      <c r="B148" s="767"/>
      <c r="C148" s="194">
        <v>17</v>
      </c>
      <c r="D148" s="193" t="s">
        <v>229</v>
      </c>
      <c r="E148" s="763"/>
      <c r="F148" s="192" t="s">
        <v>111</v>
      </c>
      <c r="G148" s="193">
        <v>31.5</v>
      </c>
      <c r="H148" s="192"/>
      <c r="I148" s="193">
        <v>327</v>
      </c>
      <c r="J148" s="192"/>
      <c r="K148" s="192" t="s">
        <v>111</v>
      </c>
      <c r="L148" s="192"/>
      <c r="M148" s="192"/>
      <c r="N148" s="192"/>
      <c r="O148" s="192"/>
      <c r="P148" s="192"/>
      <c r="Q148" s="192"/>
      <c r="R148" s="192" t="s">
        <v>2091</v>
      </c>
      <c r="S148" s="192" t="s">
        <v>2091</v>
      </c>
      <c r="T148" s="398">
        <v>3.5</v>
      </c>
      <c r="U148" s="399">
        <v>3.5</v>
      </c>
      <c r="V148" s="380">
        <f t="shared" si="7"/>
        <v>4.462</v>
      </c>
      <c r="W148" s="382">
        <f t="shared" si="8"/>
        <v>2.9003</v>
      </c>
      <c r="X148" s="381">
        <f t="shared" si="5"/>
        <v>21.255</v>
      </c>
      <c r="Y148" s="192"/>
      <c r="Z148" s="192"/>
      <c r="AA148" s="381">
        <f t="shared" si="6"/>
        <v>21.255</v>
      </c>
    </row>
    <row r="149" spans="1:27" ht="21">
      <c r="A149" s="767"/>
      <c r="B149" s="767"/>
      <c r="C149" s="194">
        <v>18</v>
      </c>
      <c r="D149" s="193" t="s">
        <v>230</v>
      </c>
      <c r="E149" s="763"/>
      <c r="F149" s="192" t="s">
        <v>111</v>
      </c>
      <c r="G149" s="398">
        <v>34.5</v>
      </c>
      <c r="H149" s="192"/>
      <c r="I149" s="193">
        <v>460</v>
      </c>
      <c r="J149" s="192"/>
      <c r="K149" s="192" t="s">
        <v>111</v>
      </c>
      <c r="L149" s="192"/>
      <c r="M149" s="192"/>
      <c r="N149" s="192"/>
      <c r="O149" s="192"/>
      <c r="P149" s="192"/>
      <c r="Q149" s="192"/>
      <c r="R149" s="192" t="s">
        <v>2091</v>
      </c>
      <c r="S149" s="192" t="s">
        <v>2091</v>
      </c>
      <c r="T149" s="398">
        <v>3.5</v>
      </c>
      <c r="U149" s="399">
        <v>3.5</v>
      </c>
      <c r="V149" s="380">
        <f t="shared" si="7"/>
        <v>5.26</v>
      </c>
      <c r="W149" s="382">
        <f t="shared" si="8"/>
        <v>3.419</v>
      </c>
      <c r="X149" s="381">
        <f t="shared" si="5"/>
        <v>29.900000000000002</v>
      </c>
      <c r="Y149" s="192"/>
      <c r="Z149" s="192"/>
      <c r="AA149" s="381">
        <f t="shared" si="6"/>
        <v>29.900000000000002</v>
      </c>
    </row>
    <row r="150" spans="1:27" ht="13.5">
      <c r="A150" s="767"/>
      <c r="B150" s="767"/>
      <c r="C150" s="194">
        <v>19</v>
      </c>
      <c r="D150" s="195" t="s">
        <v>231</v>
      </c>
      <c r="E150" s="763"/>
      <c r="F150" s="192" t="s">
        <v>116</v>
      </c>
      <c r="G150" s="398">
        <v>43.35</v>
      </c>
      <c r="H150" s="192">
        <v>43.4</v>
      </c>
      <c r="I150" s="193">
        <v>578</v>
      </c>
      <c r="J150" s="192">
        <v>578</v>
      </c>
      <c r="K150" s="192" t="s">
        <v>116</v>
      </c>
      <c r="L150" s="192"/>
      <c r="M150" s="192"/>
      <c r="N150" s="192"/>
      <c r="O150" s="192"/>
      <c r="P150" s="192"/>
      <c r="Q150" s="192"/>
      <c r="R150" s="192" t="s">
        <v>2091</v>
      </c>
      <c r="S150" s="192" t="s">
        <v>2091</v>
      </c>
      <c r="T150" s="398">
        <v>5.5</v>
      </c>
      <c r="U150" s="399">
        <v>5.5</v>
      </c>
      <c r="V150" s="380">
        <f t="shared" si="7"/>
        <v>5.968</v>
      </c>
      <c r="W150" s="382">
        <f t="shared" si="8"/>
        <v>3.8792</v>
      </c>
      <c r="X150" s="381">
        <f t="shared" si="5"/>
        <v>37.57</v>
      </c>
      <c r="Y150" s="192"/>
      <c r="Z150" s="192"/>
      <c r="AA150" s="381">
        <f t="shared" si="6"/>
        <v>37.57</v>
      </c>
    </row>
    <row r="151" spans="1:27" ht="13.5">
      <c r="A151" s="767"/>
      <c r="B151" s="767"/>
      <c r="C151" s="194">
        <v>20</v>
      </c>
      <c r="D151" s="195" t="s">
        <v>232</v>
      </c>
      <c r="E151" s="763"/>
      <c r="F151" s="192" t="s">
        <v>116</v>
      </c>
      <c r="G151" s="398">
        <v>21</v>
      </c>
      <c r="H151" s="384">
        <v>21</v>
      </c>
      <c r="I151" s="193">
        <v>280</v>
      </c>
      <c r="J151" s="192">
        <v>280</v>
      </c>
      <c r="K151" s="192" t="s">
        <v>116</v>
      </c>
      <c r="L151" s="192"/>
      <c r="M151" s="192"/>
      <c r="N151" s="192"/>
      <c r="O151" s="192"/>
      <c r="P151" s="192"/>
      <c r="Q151" s="192"/>
      <c r="R151" s="192" t="s">
        <v>2091</v>
      </c>
      <c r="S151" s="192" t="s">
        <v>2091</v>
      </c>
      <c r="T151" s="398">
        <v>4.5</v>
      </c>
      <c r="U151" s="399">
        <v>4.5</v>
      </c>
      <c r="V151" s="380">
        <f t="shared" si="7"/>
        <v>4.18</v>
      </c>
      <c r="W151" s="382">
        <f t="shared" si="8"/>
        <v>2.717</v>
      </c>
      <c r="X151" s="381">
        <f t="shared" si="5"/>
        <v>18.2</v>
      </c>
      <c r="Y151" s="192"/>
      <c r="Z151" s="192"/>
      <c r="AA151" s="381">
        <f t="shared" si="6"/>
        <v>18.2</v>
      </c>
    </row>
    <row r="152" spans="1:27" ht="13.5">
      <c r="A152" s="767"/>
      <c r="B152" s="767"/>
      <c r="C152" s="194">
        <v>21</v>
      </c>
      <c r="D152" s="195" t="s">
        <v>233</v>
      </c>
      <c r="E152" s="763"/>
      <c r="F152" s="192" t="s">
        <v>116</v>
      </c>
      <c r="G152" s="398">
        <v>32.85</v>
      </c>
      <c r="H152" s="192">
        <v>39.2</v>
      </c>
      <c r="I152" s="193">
        <v>438</v>
      </c>
      <c r="J152" s="192">
        <v>438</v>
      </c>
      <c r="K152" s="192" t="s">
        <v>116</v>
      </c>
      <c r="L152" s="192"/>
      <c r="M152" s="192"/>
      <c r="N152" s="192"/>
      <c r="O152" s="192"/>
      <c r="P152" s="192"/>
      <c r="Q152" s="192"/>
      <c r="R152" s="192" t="s">
        <v>2091</v>
      </c>
      <c r="S152" s="192" t="s">
        <v>2091</v>
      </c>
      <c r="T152" s="398">
        <v>4.5</v>
      </c>
      <c r="U152" s="399">
        <v>4.5</v>
      </c>
      <c r="V152" s="380">
        <f t="shared" si="7"/>
        <v>5.128</v>
      </c>
      <c r="W152" s="382">
        <f t="shared" si="8"/>
        <v>3.3332</v>
      </c>
      <c r="X152" s="381">
        <f t="shared" si="5"/>
        <v>28.470000000000002</v>
      </c>
      <c r="Y152" s="192"/>
      <c r="Z152" s="192"/>
      <c r="AA152" s="381">
        <f t="shared" si="6"/>
        <v>28.470000000000002</v>
      </c>
    </row>
    <row r="153" spans="1:27" ht="13.5">
      <c r="A153" s="767"/>
      <c r="B153" s="767"/>
      <c r="C153" s="194">
        <v>22</v>
      </c>
      <c r="D153" s="195" t="s">
        <v>234</v>
      </c>
      <c r="E153" s="763"/>
      <c r="F153" s="192" t="s">
        <v>111</v>
      </c>
      <c r="G153" s="398">
        <v>45.9</v>
      </c>
      <c r="H153" s="192"/>
      <c r="I153" s="193">
        <v>612</v>
      </c>
      <c r="J153" s="192"/>
      <c r="K153" s="192" t="s">
        <v>111</v>
      </c>
      <c r="L153" s="192"/>
      <c r="M153" s="192"/>
      <c r="N153" s="192"/>
      <c r="O153" s="192"/>
      <c r="P153" s="192"/>
      <c r="Q153" s="192"/>
      <c r="R153" s="192" t="s">
        <v>2091</v>
      </c>
      <c r="S153" s="192" t="s">
        <v>2091</v>
      </c>
      <c r="T153" s="398">
        <v>4.5</v>
      </c>
      <c r="U153" s="399">
        <v>4.5</v>
      </c>
      <c r="V153" s="380">
        <f t="shared" si="7"/>
        <v>6.172</v>
      </c>
      <c r="W153" s="382">
        <f t="shared" si="8"/>
        <v>4.0118</v>
      </c>
      <c r="X153" s="381">
        <f t="shared" si="5"/>
        <v>39.78</v>
      </c>
      <c r="Y153" s="192"/>
      <c r="Z153" s="192"/>
      <c r="AA153" s="381">
        <f t="shared" si="6"/>
        <v>39.78</v>
      </c>
    </row>
    <row r="154" spans="1:27" ht="13.5">
      <c r="A154" s="767"/>
      <c r="B154" s="767"/>
      <c r="C154" s="194">
        <v>23</v>
      </c>
      <c r="D154" s="195" t="s">
        <v>235</v>
      </c>
      <c r="E154" s="763"/>
      <c r="F154" s="192" t="s">
        <v>111</v>
      </c>
      <c r="G154" s="398">
        <v>53.775</v>
      </c>
      <c r="H154" s="192"/>
      <c r="I154" s="193">
        <v>717</v>
      </c>
      <c r="J154" s="192"/>
      <c r="K154" s="192" t="s">
        <v>111</v>
      </c>
      <c r="L154" s="192"/>
      <c r="M154" s="192"/>
      <c r="N154" s="192"/>
      <c r="O154" s="192"/>
      <c r="P154" s="192"/>
      <c r="Q154" s="192"/>
      <c r="R154" s="192" t="s">
        <v>2091</v>
      </c>
      <c r="S154" s="192" t="s">
        <v>2091</v>
      </c>
      <c r="T154" s="398">
        <v>6.5</v>
      </c>
      <c r="U154" s="399">
        <v>6.5</v>
      </c>
      <c r="V154" s="380">
        <f t="shared" si="7"/>
        <v>6.802</v>
      </c>
      <c r="W154" s="382">
        <f t="shared" si="8"/>
        <v>4.4213</v>
      </c>
      <c r="X154" s="381">
        <f t="shared" si="5"/>
        <v>46.605000000000004</v>
      </c>
      <c r="Y154" s="192"/>
      <c r="Z154" s="192"/>
      <c r="AA154" s="381">
        <f t="shared" si="6"/>
        <v>46.605000000000004</v>
      </c>
    </row>
    <row r="155" spans="1:27" ht="21">
      <c r="A155" s="767"/>
      <c r="B155" s="767"/>
      <c r="C155" s="194">
        <v>24</v>
      </c>
      <c r="D155" s="195" t="s">
        <v>236</v>
      </c>
      <c r="E155" s="763"/>
      <c r="F155" s="192" t="s">
        <v>111</v>
      </c>
      <c r="G155" s="398">
        <v>20.55</v>
      </c>
      <c r="H155" s="192"/>
      <c r="I155" s="193">
        <v>274</v>
      </c>
      <c r="J155" s="192"/>
      <c r="K155" s="192" t="s">
        <v>111</v>
      </c>
      <c r="L155" s="192"/>
      <c r="M155" s="192"/>
      <c r="N155" s="192"/>
      <c r="O155" s="192"/>
      <c r="P155" s="192"/>
      <c r="Q155" s="192"/>
      <c r="R155" s="192" t="s">
        <v>2091</v>
      </c>
      <c r="S155" s="192" t="s">
        <v>2091</v>
      </c>
      <c r="T155" s="398">
        <v>3.5</v>
      </c>
      <c r="U155" s="399">
        <v>3.5</v>
      </c>
      <c r="V155" s="380">
        <f t="shared" si="7"/>
        <v>4.144</v>
      </c>
      <c r="W155" s="382">
        <f t="shared" si="8"/>
        <v>2.6936</v>
      </c>
      <c r="X155" s="381">
        <f t="shared" si="5"/>
        <v>17.810000000000002</v>
      </c>
      <c r="Y155" s="192"/>
      <c r="Z155" s="192"/>
      <c r="AA155" s="381">
        <f t="shared" si="6"/>
        <v>17.810000000000002</v>
      </c>
    </row>
    <row r="156" spans="1:27" ht="21">
      <c r="A156" s="767"/>
      <c r="B156" s="767"/>
      <c r="C156" s="194">
        <v>25</v>
      </c>
      <c r="D156" s="195" t="s">
        <v>237</v>
      </c>
      <c r="E156" s="763"/>
      <c r="F156" s="192" t="s">
        <v>111</v>
      </c>
      <c r="G156" s="398">
        <v>23.475</v>
      </c>
      <c r="H156" s="192"/>
      <c r="I156" s="193">
        <v>313</v>
      </c>
      <c r="J156" s="192"/>
      <c r="K156" s="192" t="s">
        <v>111</v>
      </c>
      <c r="L156" s="192"/>
      <c r="M156" s="192"/>
      <c r="N156" s="192"/>
      <c r="O156" s="192"/>
      <c r="P156" s="192"/>
      <c r="Q156" s="192"/>
      <c r="R156" s="192" t="s">
        <v>2091</v>
      </c>
      <c r="S156" s="192" t="s">
        <v>2091</v>
      </c>
      <c r="T156" s="398">
        <v>7.5</v>
      </c>
      <c r="U156" s="399">
        <v>7.5</v>
      </c>
      <c r="V156" s="380">
        <f t="shared" si="7"/>
        <v>4.378</v>
      </c>
      <c r="W156" s="382">
        <f t="shared" si="8"/>
        <v>2.8457000000000003</v>
      </c>
      <c r="X156" s="381">
        <f t="shared" si="5"/>
        <v>20.345000000000002</v>
      </c>
      <c r="Y156" s="192"/>
      <c r="Z156" s="192"/>
      <c r="AA156" s="381">
        <f t="shared" si="6"/>
        <v>20.345000000000002</v>
      </c>
    </row>
    <row r="157" spans="1:27" ht="21">
      <c r="A157" s="767"/>
      <c r="B157" s="767"/>
      <c r="C157" s="194">
        <v>26</v>
      </c>
      <c r="D157" s="195" t="s">
        <v>238</v>
      </c>
      <c r="E157" s="763"/>
      <c r="F157" s="192" t="s">
        <v>111</v>
      </c>
      <c r="G157" s="398">
        <v>24.9</v>
      </c>
      <c r="H157" s="192"/>
      <c r="I157" s="193">
        <v>332</v>
      </c>
      <c r="J157" s="192"/>
      <c r="K157" s="192" t="s">
        <v>111</v>
      </c>
      <c r="L157" s="192"/>
      <c r="M157" s="192"/>
      <c r="N157" s="192"/>
      <c r="O157" s="192"/>
      <c r="P157" s="192"/>
      <c r="Q157" s="192"/>
      <c r="R157" s="192" t="s">
        <v>2091</v>
      </c>
      <c r="S157" s="192" t="s">
        <v>2091</v>
      </c>
      <c r="T157" s="398">
        <v>1.5</v>
      </c>
      <c r="U157" s="399">
        <v>1.5</v>
      </c>
      <c r="V157" s="380">
        <f t="shared" si="7"/>
        <v>4.492</v>
      </c>
      <c r="W157" s="382">
        <f t="shared" si="8"/>
        <v>2.9198</v>
      </c>
      <c r="X157" s="381">
        <f t="shared" si="5"/>
        <v>21.580000000000002</v>
      </c>
      <c r="Y157" s="192"/>
      <c r="Z157" s="192"/>
      <c r="AA157" s="381">
        <f t="shared" si="6"/>
        <v>21.580000000000002</v>
      </c>
    </row>
    <row r="158" spans="1:27" ht="13.5">
      <c r="A158" s="767"/>
      <c r="B158" s="767"/>
      <c r="C158" s="194">
        <v>27</v>
      </c>
      <c r="D158" s="195" t="s">
        <v>239</v>
      </c>
      <c r="E158" s="763"/>
      <c r="F158" s="192" t="s">
        <v>111</v>
      </c>
      <c r="G158" s="398">
        <v>35.7</v>
      </c>
      <c r="H158" s="192"/>
      <c r="I158" s="193">
        <v>476</v>
      </c>
      <c r="J158" s="192"/>
      <c r="K158" s="192" t="s">
        <v>111</v>
      </c>
      <c r="L158" s="192"/>
      <c r="M158" s="192"/>
      <c r="N158" s="192"/>
      <c r="O158" s="192"/>
      <c r="P158" s="192"/>
      <c r="Q158" s="192"/>
      <c r="R158" s="192" t="s">
        <v>2091</v>
      </c>
      <c r="S158" s="192" t="s">
        <v>2091</v>
      </c>
      <c r="T158" s="398">
        <v>2.5</v>
      </c>
      <c r="U158" s="399">
        <v>2.5</v>
      </c>
      <c r="V158" s="380">
        <f t="shared" si="7"/>
        <v>5.356</v>
      </c>
      <c r="W158" s="382">
        <f t="shared" si="8"/>
        <v>3.4814</v>
      </c>
      <c r="X158" s="381">
        <f t="shared" si="5"/>
        <v>30.94</v>
      </c>
      <c r="Y158" s="192"/>
      <c r="Z158" s="192"/>
      <c r="AA158" s="381">
        <f t="shared" si="6"/>
        <v>30.94</v>
      </c>
    </row>
    <row r="159" spans="1:27" ht="13.5">
      <c r="A159" s="767"/>
      <c r="B159" s="767"/>
      <c r="C159" s="194">
        <v>28</v>
      </c>
      <c r="D159" s="195" t="s">
        <v>240</v>
      </c>
      <c r="E159" s="763"/>
      <c r="F159" s="192" t="s">
        <v>116</v>
      </c>
      <c r="G159" s="398">
        <v>31.725</v>
      </c>
      <c r="H159" s="192">
        <v>31.7</v>
      </c>
      <c r="I159" s="193">
        <v>423</v>
      </c>
      <c r="J159" s="192">
        <v>423</v>
      </c>
      <c r="K159" s="192" t="s">
        <v>116</v>
      </c>
      <c r="L159" s="192"/>
      <c r="M159" s="192"/>
      <c r="N159" s="192"/>
      <c r="O159" s="192"/>
      <c r="P159" s="192"/>
      <c r="Q159" s="192"/>
      <c r="R159" s="192" t="s">
        <v>2091</v>
      </c>
      <c r="S159" s="192" t="s">
        <v>2091</v>
      </c>
      <c r="T159" s="398">
        <v>4.5</v>
      </c>
      <c r="U159" s="399">
        <v>4.5</v>
      </c>
      <c r="V159" s="380">
        <f t="shared" si="7"/>
        <v>5.038</v>
      </c>
      <c r="W159" s="382">
        <f t="shared" si="8"/>
        <v>3.2747</v>
      </c>
      <c r="X159" s="381">
        <f t="shared" si="5"/>
        <v>27.495</v>
      </c>
      <c r="Y159" s="192"/>
      <c r="Z159" s="192"/>
      <c r="AA159" s="381">
        <f t="shared" si="6"/>
        <v>27.495</v>
      </c>
    </row>
    <row r="160" spans="1:27" ht="13.5">
      <c r="A160" s="767"/>
      <c r="B160" s="767"/>
      <c r="C160" s="194">
        <v>29</v>
      </c>
      <c r="D160" s="195" t="s">
        <v>241</v>
      </c>
      <c r="E160" s="763"/>
      <c r="F160" s="192" t="s">
        <v>111</v>
      </c>
      <c r="G160" s="398">
        <v>20.025</v>
      </c>
      <c r="H160" s="192"/>
      <c r="I160" s="193">
        <v>267</v>
      </c>
      <c r="J160" s="192"/>
      <c r="K160" s="192" t="s">
        <v>111</v>
      </c>
      <c r="L160" s="192"/>
      <c r="M160" s="192"/>
      <c r="N160" s="192"/>
      <c r="O160" s="192"/>
      <c r="P160" s="192"/>
      <c r="Q160" s="192"/>
      <c r="R160" s="192" t="s">
        <v>2091</v>
      </c>
      <c r="S160" s="192" t="s">
        <v>2091</v>
      </c>
      <c r="T160" s="398">
        <v>4.8</v>
      </c>
      <c r="U160" s="399">
        <v>4.8</v>
      </c>
      <c r="V160" s="380">
        <f t="shared" si="7"/>
        <v>4.102</v>
      </c>
      <c r="W160" s="382">
        <f t="shared" si="8"/>
        <v>2.6663</v>
      </c>
      <c r="X160" s="381">
        <f t="shared" si="5"/>
        <v>17.355</v>
      </c>
      <c r="Y160" s="192"/>
      <c r="Z160" s="192"/>
      <c r="AA160" s="381">
        <f t="shared" si="6"/>
        <v>17.355</v>
      </c>
    </row>
    <row r="161" spans="1:27" ht="13.5">
      <c r="A161" s="767"/>
      <c r="B161" s="767"/>
      <c r="C161" s="194">
        <v>30</v>
      </c>
      <c r="D161" s="195" t="s">
        <v>242</v>
      </c>
      <c r="E161" s="763"/>
      <c r="F161" s="192" t="s">
        <v>116</v>
      </c>
      <c r="G161" s="398">
        <v>48.9</v>
      </c>
      <c r="H161" s="192">
        <v>48.9</v>
      </c>
      <c r="I161" s="193">
        <v>652</v>
      </c>
      <c r="J161" s="192">
        <v>652</v>
      </c>
      <c r="K161" s="192" t="s">
        <v>116</v>
      </c>
      <c r="L161" s="192"/>
      <c r="M161" s="192"/>
      <c r="N161" s="192"/>
      <c r="O161" s="192"/>
      <c r="P161" s="192"/>
      <c r="Q161" s="192"/>
      <c r="R161" s="192" t="s">
        <v>2091</v>
      </c>
      <c r="S161" s="192" t="s">
        <v>2091</v>
      </c>
      <c r="T161" s="398">
        <v>4.9</v>
      </c>
      <c r="U161" s="399">
        <v>4.9</v>
      </c>
      <c r="V161" s="380">
        <f t="shared" si="7"/>
        <v>6.412</v>
      </c>
      <c r="W161" s="382">
        <f t="shared" si="8"/>
        <v>4.1678</v>
      </c>
      <c r="X161" s="381">
        <f t="shared" si="5"/>
        <v>42.38</v>
      </c>
      <c r="Y161" s="192"/>
      <c r="Z161" s="192"/>
      <c r="AA161" s="381">
        <f t="shared" si="6"/>
        <v>42.38</v>
      </c>
    </row>
    <row r="162" spans="1:27" ht="13.5">
      <c r="A162" s="767"/>
      <c r="B162" s="767"/>
      <c r="C162" s="194">
        <v>31</v>
      </c>
      <c r="D162" s="195" t="s">
        <v>243</v>
      </c>
      <c r="E162" s="763"/>
      <c r="F162" s="192" t="s">
        <v>111</v>
      </c>
      <c r="G162" s="398">
        <v>39.45</v>
      </c>
      <c r="H162" s="192"/>
      <c r="I162" s="193">
        <v>526</v>
      </c>
      <c r="J162" s="192"/>
      <c r="K162" s="192" t="s">
        <v>111</v>
      </c>
      <c r="L162" s="192"/>
      <c r="M162" s="192"/>
      <c r="N162" s="192"/>
      <c r="O162" s="192"/>
      <c r="P162" s="192"/>
      <c r="Q162" s="192"/>
      <c r="R162" s="192" t="s">
        <v>2091</v>
      </c>
      <c r="S162" s="192" t="s">
        <v>2091</v>
      </c>
      <c r="T162" s="398">
        <v>4.5</v>
      </c>
      <c r="U162" s="399">
        <v>4.5</v>
      </c>
      <c r="V162" s="380">
        <f t="shared" si="7"/>
        <v>5.656</v>
      </c>
      <c r="W162" s="382">
        <f t="shared" si="8"/>
        <v>3.6764</v>
      </c>
      <c r="X162" s="381">
        <f t="shared" si="5"/>
        <v>34.19</v>
      </c>
      <c r="Y162" s="192"/>
      <c r="Z162" s="192"/>
      <c r="AA162" s="381">
        <f t="shared" si="6"/>
        <v>34.19</v>
      </c>
    </row>
    <row r="163" spans="1:27" ht="13.5">
      <c r="A163" s="767"/>
      <c r="B163" s="767"/>
      <c r="C163" s="194">
        <v>32</v>
      </c>
      <c r="D163" s="195" t="s">
        <v>244</v>
      </c>
      <c r="E163" s="764"/>
      <c r="F163" s="192" t="s">
        <v>116</v>
      </c>
      <c r="G163" s="398">
        <v>30.9</v>
      </c>
      <c r="H163" s="192">
        <v>30.9</v>
      </c>
      <c r="I163" s="193">
        <v>412</v>
      </c>
      <c r="J163" s="192">
        <v>412</v>
      </c>
      <c r="K163" s="192" t="s">
        <v>116</v>
      </c>
      <c r="L163" s="192"/>
      <c r="M163" s="192"/>
      <c r="N163" s="192"/>
      <c r="O163" s="192"/>
      <c r="P163" s="192"/>
      <c r="Q163" s="192"/>
      <c r="R163" s="192" t="s">
        <v>2091</v>
      </c>
      <c r="S163" s="192" t="s">
        <v>2091</v>
      </c>
      <c r="T163" s="398">
        <v>6.5</v>
      </c>
      <c r="U163" s="399">
        <v>6.5</v>
      </c>
      <c r="V163" s="380">
        <f t="shared" si="7"/>
        <v>4.972</v>
      </c>
      <c r="W163" s="382">
        <f t="shared" si="8"/>
        <v>3.2318000000000002</v>
      </c>
      <c r="X163" s="381">
        <f t="shared" si="5"/>
        <v>26.78</v>
      </c>
      <c r="Y163" s="192"/>
      <c r="Z163" s="192"/>
      <c r="AA163" s="381">
        <f t="shared" si="6"/>
        <v>26.78</v>
      </c>
    </row>
    <row r="164" spans="1:27" ht="21">
      <c r="A164" s="767"/>
      <c r="B164" s="767"/>
      <c r="C164" s="386" t="s">
        <v>245</v>
      </c>
      <c r="D164" s="392">
        <v>9</v>
      </c>
      <c r="E164" s="377">
        <v>1</v>
      </c>
      <c r="F164" s="377">
        <v>1</v>
      </c>
      <c r="G164" s="400">
        <f>G165</f>
        <v>150</v>
      </c>
      <c r="H164" s="377">
        <f>H165</f>
        <v>113.63</v>
      </c>
      <c r="I164" s="377">
        <f>I165</f>
        <v>2066</v>
      </c>
      <c r="J164" s="377"/>
      <c r="K164" s="377"/>
      <c r="L164" s="377"/>
      <c r="M164" s="377"/>
      <c r="N164" s="400"/>
      <c r="O164" s="379"/>
      <c r="P164" s="379"/>
      <c r="Q164" s="377"/>
      <c r="R164" s="192" t="s">
        <v>2091</v>
      </c>
      <c r="S164" s="192" t="s">
        <v>2091</v>
      </c>
      <c r="T164" s="377">
        <f>T165</f>
        <v>4.6</v>
      </c>
      <c r="U164" s="377">
        <f>U165</f>
        <v>3.8</v>
      </c>
      <c r="V164" s="377">
        <f>V165</f>
        <v>6.7</v>
      </c>
      <c r="W164" s="377"/>
      <c r="X164" s="377">
        <f>X165</f>
        <v>206.6</v>
      </c>
      <c r="Y164" s="377"/>
      <c r="Z164" s="377">
        <f>Z165</f>
        <v>103.3</v>
      </c>
      <c r="AA164" s="377">
        <f>AA165</f>
        <v>103.3</v>
      </c>
    </row>
    <row r="165" spans="1:27" ht="13.5">
      <c r="A165" s="767"/>
      <c r="B165" s="767"/>
      <c r="C165" s="192">
        <v>1</v>
      </c>
      <c r="D165" s="193" t="s">
        <v>1317</v>
      </c>
      <c r="E165" s="762" t="s">
        <v>115</v>
      </c>
      <c r="F165" s="762" t="s">
        <v>2093</v>
      </c>
      <c r="G165" s="762">
        <v>150</v>
      </c>
      <c r="H165" s="762">
        <v>113.63</v>
      </c>
      <c r="I165" s="762">
        <v>2066</v>
      </c>
      <c r="J165" s="762"/>
      <c r="K165" s="762" t="s">
        <v>2093</v>
      </c>
      <c r="L165" s="762">
        <v>3</v>
      </c>
      <c r="M165" s="762" t="s">
        <v>2093</v>
      </c>
      <c r="N165" s="762" t="s">
        <v>117</v>
      </c>
      <c r="O165" s="762" t="s">
        <v>112</v>
      </c>
      <c r="P165" s="762" t="s">
        <v>112</v>
      </c>
      <c r="Q165" s="762" t="s">
        <v>112</v>
      </c>
      <c r="R165" s="762" t="s">
        <v>117</v>
      </c>
      <c r="S165" s="762" t="s">
        <v>117</v>
      </c>
      <c r="T165" s="762">
        <v>4.6</v>
      </c>
      <c r="U165" s="762">
        <v>3.8</v>
      </c>
      <c r="V165" s="762">
        <v>6.7</v>
      </c>
      <c r="W165" s="762"/>
      <c r="X165" s="762">
        <v>206.6</v>
      </c>
      <c r="Y165" s="762"/>
      <c r="Z165" s="762">
        <v>103.3</v>
      </c>
      <c r="AA165" s="762">
        <v>103.3</v>
      </c>
    </row>
    <row r="166" spans="1:27" ht="21">
      <c r="A166" s="767"/>
      <c r="B166" s="767"/>
      <c r="C166" s="192">
        <v>2</v>
      </c>
      <c r="D166" s="193" t="s">
        <v>1318</v>
      </c>
      <c r="E166" s="763"/>
      <c r="F166" s="763"/>
      <c r="G166" s="763"/>
      <c r="H166" s="763"/>
      <c r="I166" s="763"/>
      <c r="J166" s="763"/>
      <c r="K166" s="763"/>
      <c r="L166" s="763"/>
      <c r="M166" s="763"/>
      <c r="N166" s="763"/>
      <c r="O166" s="763"/>
      <c r="P166" s="763"/>
      <c r="Q166" s="763"/>
      <c r="R166" s="763"/>
      <c r="S166" s="763"/>
      <c r="T166" s="763"/>
      <c r="U166" s="763"/>
      <c r="V166" s="763"/>
      <c r="W166" s="763"/>
      <c r="X166" s="763"/>
      <c r="Y166" s="763"/>
      <c r="Z166" s="763"/>
      <c r="AA166" s="763"/>
    </row>
    <row r="167" spans="1:27" ht="13.5">
      <c r="A167" s="767"/>
      <c r="B167" s="767"/>
      <c r="C167" s="192">
        <v>3</v>
      </c>
      <c r="D167" s="196" t="s">
        <v>1311</v>
      </c>
      <c r="E167" s="763"/>
      <c r="F167" s="763"/>
      <c r="G167" s="763"/>
      <c r="H167" s="763"/>
      <c r="I167" s="763"/>
      <c r="J167" s="763"/>
      <c r="K167" s="763"/>
      <c r="L167" s="763"/>
      <c r="M167" s="763"/>
      <c r="N167" s="763"/>
      <c r="O167" s="763"/>
      <c r="P167" s="763"/>
      <c r="Q167" s="763"/>
      <c r="R167" s="763"/>
      <c r="S167" s="763"/>
      <c r="T167" s="763"/>
      <c r="U167" s="763"/>
      <c r="V167" s="763"/>
      <c r="W167" s="763"/>
      <c r="X167" s="763"/>
      <c r="Y167" s="763"/>
      <c r="Z167" s="763"/>
      <c r="AA167" s="763"/>
    </row>
    <row r="168" spans="1:27" ht="13.5">
      <c r="A168" s="767"/>
      <c r="B168" s="767"/>
      <c r="C168" s="192">
        <v>4</v>
      </c>
      <c r="D168" s="196" t="s">
        <v>1319</v>
      </c>
      <c r="E168" s="763"/>
      <c r="F168" s="763"/>
      <c r="G168" s="763"/>
      <c r="H168" s="763"/>
      <c r="I168" s="763"/>
      <c r="J168" s="763"/>
      <c r="K168" s="763"/>
      <c r="L168" s="763"/>
      <c r="M168" s="763"/>
      <c r="N168" s="763"/>
      <c r="O168" s="763"/>
      <c r="P168" s="763"/>
      <c r="Q168" s="763"/>
      <c r="R168" s="763"/>
      <c r="S168" s="763"/>
      <c r="T168" s="763"/>
      <c r="U168" s="763"/>
      <c r="V168" s="763"/>
      <c r="W168" s="763"/>
      <c r="X168" s="763"/>
      <c r="Y168" s="763"/>
      <c r="Z168" s="763"/>
      <c r="AA168" s="763"/>
    </row>
    <row r="169" spans="1:27" ht="13.5">
      <c r="A169" s="767"/>
      <c r="B169" s="767"/>
      <c r="C169" s="192">
        <v>5</v>
      </c>
      <c r="D169" s="196" t="s">
        <v>1320</v>
      </c>
      <c r="E169" s="763"/>
      <c r="F169" s="763"/>
      <c r="G169" s="763"/>
      <c r="H169" s="763"/>
      <c r="I169" s="763"/>
      <c r="J169" s="763"/>
      <c r="K169" s="763"/>
      <c r="L169" s="763"/>
      <c r="M169" s="763"/>
      <c r="N169" s="763"/>
      <c r="O169" s="763"/>
      <c r="P169" s="763"/>
      <c r="Q169" s="763"/>
      <c r="R169" s="763"/>
      <c r="S169" s="763"/>
      <c r="T169" s="763"/>
      <c r="U169" s="763"/>
      <c r="V169" s="763"/>
      <c r="W169" s="763"/>
      <c r="X169" s="763"/>
      <c r="Y169" s="763"/>
      <c r="Z169" s="763"/>
      <c r="AA169" s="763"/>
    </row>
    <row r="170" spans="1:27" ht="13.5">
      <c r="A170" s="767"/>
      <c r="B170" s="767"/>
      <c r="C170" s="192">
        <v>6</v>
      </c>
      <c r="D170" s="196" t="s">
        <v>1313</v>
      </c>
      <c r="E170" s="763"/>
      <c r="F170" s="763"/>
      <c r="G170" s="763"/>
      <c r="H170" s="763"/>
      <c r="I170" s="763"/>
      <c r="J170" s="763"/>
      <c r="K170" s="763"/>
      <c r="L170" s="763"/>
      <c r="M170" s="763"/>
      <c r="N170" s="763"/>
      <c r="O170" s="763"/>
      <c r="P170" s="763"/>
      <c r="Q170" s="763"/>
      <c r="R170" s="763"/>
      <c r="S170" s="763"/>
      <c r="T170" s="763"/>
      <c r="U170" s="763"/>
      <c r="V170" s="763"/>
      <c r="W170" s="763"/>
      <c r="X170" s="763"/>
      <c r="Y170" s="763"/>
      <c r="Z170" s="763"/>
      <c r="AA170" s="763"/>
    </row>
    <row r="171" spans="1:27" ht="13.5">
      <c r="A171" s="767"/>
      <c r="B171" s="767"/>
      <c r="C171" s="192">
        <v>7</v>
      </c>
      <c r="D171" s="196" t="s">
        <v>1321</v>
      </c>
      <c r="E171" s="763"/>
      <c r="F171" s="763"/>
      <c r="G171" s="763"/>
      <c r="H171" s="763"/>
      <c r="I171" s="763"/>
      <c r="J171" s="763"/>
      <c r="K171" s="763"/>
      <c r="L171" s="763"/>
      <c r="M171" s="763"/>
      <c r="N171" s="763"/>
      <c r="O171" s="763"/>
      <c r="P171" s="763"/>
      <c r="Q171" s="763"/>
      <c r="R171" s="763"/>
      <c r="S171" s="763"/>
      <c r="T171" s="763"/>
      <c r="U171" s="763"/>
      <c r="V171" s="763"/>
      <c r="W171" s="763"/>
      <c r="X171" s="763"/>
      <c r="Y171" s="763"/>
      <c r="Z171" s="763"/>
      <c r="AA171" s="763"/>
    </row>
    <row r="172" spans="1:27" ht="13.5">
      <c r="A172" s="767"/>
      <c r="B172" s="767"/>
      <c r="C172" s="192">
        <v>8</v>
      </c>
      <c r="D172" s="193" t="s">
        <v>1322</v>
      </c>
      <c r="E172" s="764"/>
      <c r="F172" s="764"/>
      <c r="G172" s="764"/>
      <c r="H172" s="764"/>
      <c r="I172" s="764"/>
      <c r="J172" s="764"/>
      <c r="K172" s="764"/>
      <c r="L172" s="764"/>
      <c r="M172" s="764"/>
      <c r="N172" s="764"/>
      <c r="O172" s="764"/>
      <c r="P172" s="764"/>
      <c r="Q172" s="764"/>
      <c r="R172" s="764"/>
      <c r="S172" s="764"/>
      <c r="T172" s="764"/>
      <c r="U172" s="764"/>
      <c r="V172" s="764"/>
      <c r="W172" s="764"/>
      <c r="X172" s="764"/>
      <c r="Y172" s="764"/>
      <c r="Z172" s="764"/>
      <c r="AA172" s="764"/>
    </row>
    <row r="173" spans="1:27" ht="21">
      <c r="A173" s="767"/>
      <c r="B173" s="767"/>
      <c r="C173" s="386" t="s">
        <v>246</v>
      </c>
      <c r="D173" s="392">
        <v>2</v>
      </c>
      <c r="E173" s="377">
        <v>1</v>
      </c>
      <c r="F173" s="377">
        <v>2</v>
      </c>
      <c r="G173" s="377">
        <f>G174+G175</f>
        <v>85.5</v>
      </c>
      <c r="H173" s="377">
        <f>H174+H175</f>
        <v>79.4</v>
      </c>
      <c r="I173" s="377">
        <f>I174+I175</f>
        <v>1059</v>
      </c>
      <c r="J173" s="377"/>
      <c r="K173" s="377"/>
      <c r="L173" s="377"/>
      <c r="M173" s="377"/>
      <c r="N173" s="377"/>
      <c r="O173" s="377"/>
      <c r="P173" s="377"/>
      <c r="Q173" s="377"/>
      <c r="R173" s="377"/>
      <c r="S173" s="192" t="s">
        <v>2091</v>
      </c>
      <c r="T173" s="377">
        <f aca="true" t="shared" si="9" ref="T173:Y173">T174+T175</f>
        <v>6.7</v>
      </c>
      <c r="U173" s="377">
        <f t="shared" si="9"/>
        <v>6.7</v>
      </c>
      <c r="V173" s="377">
        <f t="shared" si="9"/>
        <v>9.7</v>
      </c>
      <c r="W173" s="377">
        <f t="shared" si="9"/>
        <v>9.7</v>
      </c>
      <c r="X173" s="377">
        <f t="shared" si="9"/>
        <v>56.129999999999995</v>
      </c>
      <c r="Y173" s="378">
        <f t="shared" si="9"/>
        <v>14.0275</v>
      </c>
      <c r="Z173" s="378"/>
      <c r="AA173" s="378">
        <f>AA174+AA175</f>
        <v>42.102500000000006</v>
      </c>
    </row>
    <row r="174" spans="1:27" ht="13.5">
      <c r="A174" s="767"/>
      <c r="B174" s="767"/>
      <c r="C174" s="193">
        <v>1</v>
      </c>
      <c r="D174" s="193" t="s">
        <v>247</v>
      </c>
      <c r="E174" s="762" t="s">
        <v>120</v>
      </c>
      <c r="F174" s="192" t="s">
        <v>111</v>
      </c>
      <c r="G174" s="193">
        <v>30</v>
      </c>
      <c r="H174" s="193">
        <v>23.9</v>
      </c>
      <c r="I174" s="193">
        <v>319</v>
      </c>
      <c r="J174" s="192"/>
      <c r="K174" s="192" t="s">
        <v>111</v>
      </c>
      <c r="L174" s="192"/>
      <c r="M174" s="192"/>
      <c r="N174" s="192"/>
      <c r="O174" s="192"/>
      <c r="P174" s="192"/>
      <c r="Q174" s="192"/>
      <c r="R174" s="192"/>
      <c r="S174" s="192" t="s">
        <v>2091</v>
      </c>
      <c r="T174" s="192">
        <v>3.5</v>
      </c>
      <c r="U174" s="192">
        <v>3.5</v>
      </c>
      <c r="V174" s="192">
        <v>4.4</v>
      </c>
      <c r="W174" s="192">
        <v>4.4</v>
      </c>
      <c r="X174" s="381">
        <v>16.91</v>
      </c>
      <c r="Y174" s="381">
        <f>X174/4</f>
        <v>4.2275</v>
      </c>
      <c r="Z174" s="192"/>
      <c r="AA174" s="381">
        <f>X174-Y174</f>
        <v>12.682500000000001</v>
      </c>
    </row>
    <row r="175" spans="1:27" ht="13.5">
      <c r="A175" s="767"/>
      <c r="B175" s="767"/>
      <c r="C175" s="193">
        <v>2</v>
      </c>
      <c r="D175" s="193" t="s">
        <v>248</v>
      </c>
      <c r="E175" s="764"/>
      <c r="F175" s="192" t="s">
        <v>111</v>
      </c>
      <c r="G175" s="203">
        <v>55.5</v>
      </c>
      <c r="H175" s="203">
        <v>55.5</v>
      </c>
      <c r="I175" s="193">
        <v>740</v>
      </c>
      <c r="J175" s="191"/>
      <c r="K175" s="192" t="s">
        <v>111</v>
      </c>
      <c r="L175" s="191"/>
      <c r="M175" s="191"/>
      <c r="N175" s="191"/>
      <c r="O175" s="191"/>
      <c r="P175" s="191"/>
      <c r="Q175" s="191"/>
      <c r="R175" s="191"/>
      <c r="S175" s="192" t="s">
        <v>2091</v>
      </c>
      <c r="T175" s="192">
        <v>3.2</v>
      </c>
      <c r="U175" s="192">
        <v>3.2</v>
      </c>
      <c r="V175" s="192">
        <v>5.3</v>
      </c>
      <c r="W175" s="192">
        <v>5.3</v>
      </c>
      <c r="X175" s="192">
        <v>39.22</v>
      </c>
      <c r="Y175" s="192">
        <v>9.8</v>
      </c>
      <c r="Z175" s="191"/>
      <c r="AA175" s="192">
        <v>29.42</v>
      </c>
    </row>
    <row r="176" spans="1:27" ht="21">
      <c r="A176" s="767"/>
      <c r="B176" s="767"/>
      <c r="C176" s="386" t="s">
        <v>249</v>
      </c>
      <c r="D176" s="392">
        <v>25</v>
      </c>
      <c r="E176" s="377">
        <v>1</v>
      </c>
      <c r="F176" s="377">
        <v>17</v>
      </c>
      <c r="G176" s="400">
        <f>SUM(G177:G193)</f>
        <v>772.6190476190477</v>
      </c>
      <c r="H176" s="400">
        <f>SUM(H177:H193)</f>
        <v>271.89523809523814</v>
      </c>
      <c r="I176" s="385">
        <f>SUM(I177:I193)</f>
        <v>8064</v>
      </c>
      <c r="J176" s="385">
        <f>SUM(J177:J193)</f>
        <v>2353</v>
      </c>
      <c r="K176" s="385"/>
      <c r="L176" s="385"/>
      <c r="M176" s="385"/>
      <c r="N176" s="385"/>
      <c r="O176" s="385"/>
      <c r="P176" s="385"/>
      <c r="Q176" s="385"/>
      <c r="R176" s="385"/>
      <c r="S176" s="385"/>
      <c r="T176" s="378">
        <f aca="true" t="shared" si="10" ref="T176:AA176">SUM(T177:T193)</f>
        <v>39.85</v>
      </c>
      <c r="U176" s="378">
        <f t="shared" si="10"/>
        <v>2.41</v>
      </c>
      <c r="V176" s="378">
        <f t="shared" si="10"/>
        <v>65.10000000000001</v>
      </c>
      <c r="W176" s="378">
        <f t="shared" si="10"/>
        <v>11.6</v>
      </c>
      <c r="X176" s="378">
        <f t="shared" si="10"/>
        <v>358.77000000000004</v>
      </c>
      <c r="Y176" s="378">
        <f t="shared" si="10"/>
        <v>13.600000000000003</v>
      </c>
      <c r="Z176" s="378">
        <f t="shared" si="10"/>
        <v>4.5</v>
      </c>
      <c r="AA176" s="378">
        <f t="shared" si="10"/>
        <v>340.67</v>
      </c>
    </row>
    <row r="177" spans="1:27" ht="13.5">
      <c r="A177" s="767"/>
      <c r="B177" s="767"/>
      <c r="C177" s="194">
        <v>1</v>
      </c>
      <c r="D177" s="193" t="s">
        <v>250</v>
      </c>
      <c r="E177" s="762" t="s">
        <v>1066</v>
      </c>
      <c r="F177" s="192" t="s">
        <v>2093</v>
      </c>
      <c r="G177" s="401">
        <v>25</v>
      </c>
      <c r="H177" s="401">
        <f aca="true" t="shared" si="11" ref="H177:H185">SUM(G177*0.1)</f>
        <v>2.5</v>
      </c>
      <c r="I177" s="203">
        <v>252</v>
      </c>
      <c r="J177" s="401"/>
      <c r="K177" s="192" t="s">
        <v>2093</v>
      </c>
      <c r="L177" s="192">
        <v>3</v>
      </c>
      <c r="M177" s="192"/>
      <c r="N177" s="192"/>
      <c r="O177" s="192" t="s">
        <v>2089</v>
      </c>
      <c r="P177" s="192" t="s">
        <v>2089</v>
      </c>
      <c r="Q177" s="192" t="s">
        <v>2088</v>
      </c>
      <c r="R177" s="192" t="s">
        <v>2088</v>
      </c>
      <c r="S177" s="192" t="s">
        <v>2088</v>
      </c>
      <c r="T177" s="203">
        <v>2.25</v>
      </c>
      <c r="U177" s="402">
        <v>0.34</v>
      </c>
      <c r="V177" s="192">
        <v>2.66</v>
      </c>
      <c r="W177" s="192">
        <v>1.14</v>
      </c>
      <c r="X177" s="192">
        <f aca="true" t="shared" si="12" ref="X177:X184">SUM(AA177+0.8)</f>
        <v>10.020000000000001</v>
      </c>
      <c r="Y177" s="192">
        <v>0.8</v>
      </c>
      <c r="Z177" s="192"/>
      <c r="AA177" s="192">
        <v>9.22</v>
      </c>
    </row>
    <row r="178" spans="1:27" ht="13.5">
      <c r="A178" s="767"/>
      <c r="B178" s="767"/>
      <c r="C178" s="194">
        <v>2</v>
      </c>
      <c r="D178" s="193" t="s">
        <v>251</v>
      </c>
      <c r="E178" s="763"/>
      <c r="F178" s="192" t="s">
        <v>2093</v>
      </c>
      <c r="G178" s="401">
        <v>21</v>
      </c>
      <c r="H178" s="401">
        <f t="shared" si="11"/>
        <v>2.1</v>
      </c>
      <c r="I178" s="203">
        <v>233</v>
      </c>
      <c r="J178" s="401"/>
      <c r="K178" s="192" t="s">
        <v>2093</v>
      </c>
      <c r="L178" s="192">
        <v>3</v>
      </c>
      <c r="M178" s="192"/>
      <c r="N178" s="192"/>
      <c r="O178" s="192" t="s">
        <v>2089</v>
      </c>
      <c r="P178" s="192" t="s">
        <v>2089</v>
      </c>
      <c r="Q178" s="192" t="s">
        <v>2088</v>
      </c>
      <c r="R178" s="192" t="s">
        <v>2088</v>
      </c>
      <c r="S178" s="192" t="s">
        <v>2088</v>
      </c>
      <c r="T178" s="203">
        <v>2.1</v>
      </c>
      <c r="U178" s="402">
        <v>0.32</v>
      </c>
      <c r="V178" s="203">
        <v>1.95</v>
      </c>
      <c r="W178" s="192">
        <v>0.84</v>
      </c>
      <c r="X178" s="192">
        <f t="shared" si="12"/>
        <v>8.030000000000001</v>
      </c>
      <c r="Y178" s="192">
        <v>0.8</v>
      </c>
      <c r="Z178" s="192"/>
      <c r="AA178" s="192">
        <v>7.23</v>
      </c>
    </row>
    <row r="179" spans="1:27" ht="13.5">
      <c r="A179" s="767"/>
      <c r="B179" s="767"/>
      <c r="C179" s="194">
        <v>3</v>
      </c>
      <c r="D179" s="193" t="s">
        <v>252</v>
      </c>
      <c r="E179" s="763"/>
      <c r="F179" s="192" t="s">
        <v>2093</v>
      </c>
      <c r="G179" s="401">
        <v>65</v>
      </c>
      <c r="H179" s="401">
        <f t="shared" si="11"/>
        <v>6.5</v>
      </c>
      <c r="I179" s="203">
        <v>747</v>
      </c>
      <c r="J179" s="401"/>
      <c r="K179" s="192" t="s">
        <v>2093</v>
      </c>
      <c r="L179" s="192">
        <v>3</v>
      </c>
      <c r="M179" s="192"/>
      <c r="N179" s="192"/>
      <c r="O179" s="192" t="s">
        <v>2089</v>
      </c>
      <c r="P179" s="192" t="s">
        <v>2089</v>
      </c>
      <c r="Q179" s="192" t="s">
        <v>2088</v>
      </c>
      <c r="R179" s="192" t="s">
        <v>2088</v>
      </c>
      <c r="S179" s="192" t="s">
        <v>2088</v>
      </c>
      <c r="T179" s="203">
        <v>1.5</v>
      </c>
      <c r="U179" s="402">
        <v>0.23</v>
      </c>
      <c r="V179" s="203">
        <v>6.13</v>
      </c>
      <c r="W179" s="192">
        <v>2.64</v>
      </c>
      <c r="X179" s="192">
        <f t="shared" si="12"/>
        <v>18.68</v>
      </c>
      <c r="Y179" s="192">
        <v>0.8</v>
      </c>
      <c r="Z179" s="192"/>
      <c r="AA179" s="192">
        <v>17.88</v>
      </c>
    </row>
    <row r="180" spans="1:27" ht="21">
      <c r="A180" s="767"/>
      <c r="B180" s="767"/>
      <c r="C180" s="194">
        <v>4</v>
      </c>
      <c r="D180" s="193" t="s">
        <v>253</v>
      </c>
      <c r="E180" s="763"/>
      <c r="F180" s="192" t="s">
        <v>2093</v>
      </c>
      <c r="G180" s="401">
        <v>50</v>
      </c>
      <c r="H180" s="401">
        <f t="shared" si="11"/>
        <v>5</v>
      </c>
      <c r="I180" s="203">
        <v>602</v>
      </c>
      <c r="J180" s="401"/>
      <c r="K180" s="192" t="s">
        <v>2093</v>
      </c>
      <c r="L180" s="192">
        <v>3</v>
      </c>
      <c r="M180" s="192"/>
      <c r="N180" s="192"/>
      <c r="O180" s="192" t="s">
        <v>2089</v>
      </c>
      <c r="P180" s="192" t="s">
        <v>2089</v>
      </c>
      <c r="Q180" s="192" t="s">
        <v>2088</v>
      </c>
      <c r="R180" s="192" t="s">
        <v>2088</v>
      </c>
      <c r="S180" s="192" t="s">
        <v>2088</v>
      </c>
      <c r="T180" s="203">
        <v>3.3</v>
      </c>
      <c r="U180" s="402">
        <v>0.5</v>
      </c>
      <c r="V180" s="203">
        <v>4.27</v>
      </c>
      <c r="W180" s="192">
        <v>1.83</v>
      </c>
      <c r="X180" s="192">
        <f t="shared" si="12"/>
        <v>15.32</v>
      </c>
      <c r="Y180" s="192">
        <v>0.8</v>
      </c>
      <c r="Z180" s="192"/>
      <c r="AA180" s="192">
        <v>14.52</v>
      </c>
    </row>
    <row r="181" spans="1:27" ht="13.5">
      <c r="A181" s="767"/>
      <c r="B181" s="767"/>
      <c r="C181" s="194">
        <v>5</v>
      </c>
      <c r="D181" s="193" t="s">
        <v>2094</v>
      </c>
      <c r="E181" s="763"/>
      <c r="F181" s="192" t="s">
        <v>2093</v>
      </c>
      <c r="G181" s="401">
        <v>27</v>
      </c>
      <c r="H181" s="401">
        <f t="shared" si="11"/>
        <v>2.7</v>
      </c>
      <c r="I181" s="203">
        <v>241</v>
      </c>
      <c r="J181" s="401"/>
      <c r="K181" s="192" t="s">
        <v>2093</v>
      </c>
      <c r="L181" s="192">
        <v>3</v>
      </c>
      <c r="M181" s="192"/>
      <c r="N181" s="192"/>
      <c r="O181" s="192" t="s">
        <v>2089</v>
      </c>
      <c r="P181" s="192" t="s">
        <v>2089</v>
      </c>
      <c r="Q181" s="192" t="s">
        <v>2088</v>
      </c>
      <c r="R181" s="192" t="s">
        <v>2088</v>
      </c>
      <c r="S181" s="192" t="s">
        <v>2088</v>
      </c>
      <c r="T181" s="203">
        <v>1.35</v>
      </c>
      <c r="U181" s="402">
        <v>0.2</v>
      </c>
      <c r="V181" s="203">
        <v>0.51</v>
      </c>
      <c r="W181" s="192">
        <v>0.22</v>
      </c>
      <c r="X181" s="192">
        <f t="shared" si="12"/>
        <v>6.03</v>
      </c>
      <c r="Y181" s="192">
        <v>0.8</v>
      </c>
      <c r="Z181" s="192"/>
      <c r="AA181" s="192">
        <v>5.23</v>
      </c>
    </row>
    <row r="182" spans="1:27" ht="42">
      <c r="A182" s="767"/>
      <c r="B182" s="767"/>
      <c r="C182" s="194">
        <v>6</v>
      </c>
      <c r="D182" s="193" t="s">
        <v>254</v>
      </c>
      <c r="E182" s="763"/>
      <c r="F182" s="192" t="s">
        <v>2093</v>
      </c>
      <c r="G182" s="401">
        <v>90</v>
      </c>
      <c r="H182" s="401">
        <f t="shared" si="11"/>
        <v>9</v>
      </c>
      <c r="I182" s="203">
        <v>1041</v>
      </c>
      <c r="J182" s="401"/>
      <c r="K182" s="192" t="s">
        <v>2093</v>
      </c>
      <c r="L182" s="192">
        <v>3</v>
      </c>
      <c r="M182" s="192"/>
      <c r="N182" s="192"/>
      <c r="O182" s="192" t="s">
        <v>2089</v>
      </c>
      <c r="P182" s="192" t="s">
        <v>2089</v>
      </c>
      <c r="Q182" s="192" t="s">
        <v>2088</v>
      </c>
      <c r="R182" s="192" t="s">
        <v>2088</v>
      </c>
      <c r="S182" s="192" t="s">
        <v>2088</v>
      </c>
      <c r="T182" s="203">
        <v>2.45</v>
      </c>
      <c r="U182" s="402">
        <v>0.37</v>
      </c>
      <c r="V182" s="203">
        <v>4.51</v>
      </c>
      <c r="W182" s="192">
        <v>1.94</v>
      </c>
      <c r="X182" s="192">
        <f t="shared" si="12"/>
        <v>15.190000000000001</v>
      </c>
      <c r="Y182" s="192">
        <v>0.8</v>
      </c>
      <c r="Z182" s="192"/>
      <c r="AA182" s="192">
        <v>14.39</v>
      </c>
    </row>
    <row r="183" spans="1:27" ht="13.5">
      <c r="A183" s="767"/>
      <c r="B183" s="767"/>
      <c r="C183" s="194">
        <v>7</v>
      </c>
      <c r="D183" s="193" t="s">
        <v>255</v>
      </c>
      <c r="E183" s="763"/>
      <c r="F183" s="192" t="s">
        <v>2093</v>
      </c>
      <c r="G183" s="401">
        <v>40</v>
      </c>
      <c r="H183" s="401">
        <f t="shared" si="11"/>
        <v>4</v>
      </c>
      <c r="I183" s="203">
        <v>400</v>
      </c>
      <c r="J183" s="401"/>
      <c r="K183" s="192" t="s">
        <v>2093</v>
      </c>
      <c r="L183" s="192">
        <v>3</v>
      </c>
      <c r="M183" s="192"/>
      <c r="N183" s="192"/>
      <c r="O183" s="192" t="s">
        <v>2089</v>
      </c>
      <c r="P183" s="192" t="s">
        <v>2089</v>
      </c>
      <c r="Q183" s="192" t="s">
        <v>2088</v>
      </c>
      <c r="R183" s="192" t="s">
        <v>2088</v>
      </c>
      <c r="S183" s="192" t="s">
        <v>2088</v>
      </c>
      <c r="T183" s="203">
        <v>1.2</v>
      </c>
      <c r="U183" s="402">
        <v>0.18</v>
      </c>
      <c r="V183" s="203">
        <v>2.35</v>
      </c>
      <c r="W183" s="192">
        <v>1.01</v>
      </c>
      <c r="X183" s="192">
        <f t="shared" si="12"/>
        <v>8.22</v>
      </c>
      <c r="Y183" s="192">
        <v>0.8</v>
      </c>
      <c r="Z183" s="192"/>
      <c r="AA183" s="192">
        <v>7.42</v>
      </c>
    </row>
    <row r="184" spans="1:27" ht="13.5">
      <c r="A184" s="767"/>
      <c r="B184" s="767"/>
      <c r="C184" s="194">
        <v>8</v>
      </c>
      <c r="D184" s="193" t="s">
        <v>256</v>
      </c>
      <c r="E184" s="763"/>
      <c r="F184" s="192" t="s">
        <v>2093</v>
      </c>
      <c r="G184" s="401">
        <v>30</v>
      </c>
      <c r="H184" s="401">
        <f t="shared" si="11"/>
        <v>3</v>
      </c>
      <c r="I184" s="203">
        <v>305</v>
      </c>
      <c r="J184" s="401"/>
      <c r="K184" s="192" t="s">
        <v>2093</v>
      </c>
      <c r="L184" s="192">
        <v>3</v>
      </c>
      <c r="M184" s="192"/>
      <c r="N184" s="192"/>
      <c r="O184" s="192" t="s">
        <v>2089</v>
      </c>
      <c r="P184" s="192" t="s">
        <v>2089</v>
      </c>
      <c r="Q184" s="192" t="s">
        <v>2088</v>
      </c>
      <c r="R184" s="192" t="s">
        <v>2088</v>
      </c>
      <c r="S184" s="192" t="s">
        <v>2088</v>
      </c>
      <c r="T184" s="203">
        <v>1.8</v>
      </c>
      <c r="U184" s="402">
        <v>0.27</v>
      </c>
      <c r="V184" s="203">
        <v>4.61</v>
      </c>
      <c r="W184" s="192">
        <v>1.98</v>
      </c>
      <c r="X184" s="192">
        <f t="shared" si="12"/>
        <v>14.82</v>
      </c>
      <c r="Y184" s="192">
        <v>0.8</v>
      </c>
      <c r="Z184" s="192"/>
      <c r="AA184" s="192">
        <v>14.02</v>
      </c>
    </row>
    <row r="185" spans="1:27" ht="21">
      <c r="A185" s="767"/>
      <c r="B185" s="767"/>
      <c r="C185" s="194">
        <v>9</v>
      </c>
      <c r="D185" s="193" t="s">
        <v>1620</v>
      </c>
      <c r="E185" s="763"/>
      <c r="F185" s="192" t="s">
        <v>2095</v>
      </c>
      <c r="G185" s="401">
        <f>SUM(I185/10.5)</f>
        <v>200</v>
      </c>
      <c r="H185" s="401">
        <f t="shared" si="11"/>
        <v>20</v>
      </c>
      <c r="I185" s="192">
        <v>2100</v>
      </c>
      <c r="J185" s="192">
        <f>SUM(I185*0.1)</f>
        <v>210</v>
      </c>
      <c r="K185" s="192" t="s">
        <v>2095</v>
      </c>
      <c r="L185" s="192">
        <v>3</v>
      </c>
      <c r="M185" s="192"/>
      <c r="N185" s="192"/>
      <c r="O185" s="192" t="s">
        <v>2089</v>
      </c>
      <c r="P185" s="192" t="s">
        <v>2089</v>
      </c>
      <c r="Q185" s="192" t="s">
        <v>2088</v>
      </c>
      <c r="R185" s="192" t="s">
        <v>2088</v>
      </c>
      <c r="S185" s="192" t="s">
        <v>2088</v>
      </c>
      <c r="T185" s="193">
        <v>6</v>
      </c>
      <c r="U185" s="193"/>
      <c r="V185" s="193">
        <v>11.38</v>
      </c>
      <c r="W185" s="192"/>
      <c r="X185" s="192">
        <v>100.2</v>
      </c>
      <c r="Y185" s="192">
        <v>0.8</v>
      </c>
      <c r="Z185" s="192">
        <v>4.5</v>
      </c>
      <c r="AA185" s="192">
        <f>SUM(X185-Y185-Z185)</f>
        <v>94.9</v>
      </c>
    </row>
    <row r="186" spans="1:27" ht="13.5">
      <c r="A186" s="767"/>
      <c r="B186" s="767"/>
      <c r="C186" s="194">
        <v>10</v>
      </c>
      <c r="D186" s="193" t="s">
        <v>257</v>
      </c>
      <c r="E186" s="763"/>
      <c r="F186" s="192" t="s">
        <v>2095</v>
      </c>
      <c r="G186" s="401">
        <v>20</v>
      </c>
      <c r="H186" s="401">
        <v>20</v>
      </c>
      <c r="I186" s="203">
        <v>220</v>
      </c>
      <c r="J186" s="203">
        <v>220</v>
      </c>
      <c r="K186" s="192" t="s">
        <v>2095</v>
      </c>
      <c r="L186" s="192">
        <v>3</v>
      </c>
      <c r="M186" s="192"/>
      <c r="N186" s="192"/>
      <c r="O186" s="192" t="s">
        <v>2089</v>
      </c>
      <c r="P186" s="192" t="s">
        <v>2089</v>
      </c>
      <c r="Q186" s="192" t="s">
        <v>2088</v>
      </c>
      <c r="R186" s="192" t="s">
        <v>2088</v>
      </c>
      <c r="S186" s="192" t="s">
        <v>2088</v>
      </c>
      <c r="T186" s="203">
        <v>2.2</v>
      </c>
      <c r="U186" s="203"/>
      <c r="V186" s="203">
        <v>2.25</v>
      </c>
      <c r="W186" s="192"/>
      <c r="X186" s="192">
        <v>15.96</v>
      </c>
      <c r="Y186" s="192">
        <v>0.8</v>
      </c>
      <c r="Z186" s="192"/>
      <c r="AA186" s="192">
        <f aca="true" t="shared" si="13" ref="AA186:AA193">SUM(X186-Y186)</f>
        <v>15.16</v>
      </c>
    </row>
    <row r="187" spans="1:27" ht="13.5">
      <c r="A187" s="767"/>
      <c r="B187" s="767"/>
      <c r="C187" s="194">
        <v>11</v>
      </c>
      <c r="D187" s="193" t="s">
        <v>258</v>
      </c>
      <c r="E187" s="763"/>
      <c r="F187" s="192" t="s">
        <v>2095</v>
      </c>
      <c r="G187" s="401">
        <v>35</v>
      </c>
      <c r="H187" s="401">
        <v>35</v>
      </c>
      <c r="I187" s="192">
        <v>408</v>
      </c>
      <c r="J187" s="192">
        <v>408</v>
      </c>
      <c r="K187" s="192" t="s">
        <v>2095</v>
      </c>
      <c r="L187" s="192">
        <v>3</v>
      </c>
      <c r="M187" s="192"/>
      <c r="N187" s="192"/>
      <c r="O187" s="192" t="s">
        <v>2089</v>
      </c>
      <c r="P187" s="192" t="s">
        <v>2089</v>
      </c>
      <c r="Q187" s="192" t="s">
        <v>2088</v>
      </c>
      <c r="R187" s="192" t="s">
        <v>2088</v>
      </c>
      <c r="S187" s="192" t="s">
        <v>2088</v>
      </c>
      <c r="T187" s="203">
        <v>3.5</v>
      </c>
      <c r="U187" s="203"/>
      <c r="V187" s="203">
        <v>5.23</v>
      </c>
      <c r="W187" s="192"/>
      <c r="X187" s="192">
        <v>45.24</v>
      </c>
      <c r="Y187" s="192">
        <v>0.8</v>
      </c>
      <c r="Z187" s="192"/>
      <c r="AA187" s="192">
        <f t="shared" si="13"/>
        <v>44.440000000000005</v>
      </c>
    </row>
    <row r="188" spans="1:27" ht="13.5">
      <c r="A188" s="767"/>
      <c r="B188" s="767"/>
      <c r="C188" s="194">
        <v>12</v>
      </c>
      <c r="D188" s="399" t="s">
        <v>259</v>
      </c>
      <c r="E188" s="763"/>
      <c r="F188" s="192" t="s">
        <v>2095</v>
      </c>
      <c r="G188" s="401">
        <v>20</v>
      </c>
      <c r="H188" s="401">
        <v>20</v>
      </c>
      <c r="I188" s="192">
        <v>23</v>
      </c>
      <c r="J188" s="192">
        <v>23</v>
      </c>
      <c r="K188" s="192" t="s">
        <v>2095</v>
      </c>
      <c r="L188" s="192">
        <v>3</v>
      </c>
      <c r="M188" s="192"/>
      <c r="N188" s="192"/>
      <c r="O188" s="192" t="s">
        <v>2089</v>
      </c>
      <c r="P188" s="192" t="s">
        <v>2089</v>
      </c>
      <c r="Q188" s="192" t="s">
        <v>2088</v>
      </c>
      <c r="R188" s="192" t="s">
        <v>2088</v>
      </c>
      <c r="S188" s="192" t="s">
        <v>2088</v>
      </c>
      <c r="T188" s="192">
        <v>1.7</v>
      </c>
      <c r="U188" s="192"/>
      <c r="V188" s="192">
        <v>2.14</v>
      </c>
      <c r="W188" s="192"/>
      <c r="X188" s="192">
        <v>9.54</v>
      </c>
      <c r="Y188" s="192">
        <v>0.8</v>
      </c>
      <c r="Z188" s="192"/>
      <c r="AA188" s="192">
        <f t="shared" si="13"/>
        <v>8.739999999999998</v>
      </c>
    </row>
    <row r="189" spans="1:27" ht="13.5">
      <c r="A189" s="767"/>
      <c r="B189" s="767"/>
      <c r="C189" s="194">
        <v>13</v>
      </c>
      <c r="D189" s="399" t="s">
        <v>255</v>
      </c>
      <c r="E189" s="763"/>
      <c r="F189" s="192" t="s">
        <v>2095</v>
      </c>
      <c r="G189" s="401">
        <f>SUM(I189/10.5)</f>
        <v>46.857142857142854</v>
      </c>
      <c r="H189" s="401">
        <f>SUM(J189/10.5)</f>
        <v>46.857142857142854</v>
      </c>
      <c r="I189" s="192">
        <v>492</v>
      </c>
      <c r="J189" s="192">
        <v>492</v>
      </c>
      <c r="K189" s="192" t="s">
        <v>2095</v>
      </c>
      <c r="L189" s="192">
        <v>3</v>
      </c>
      <c r="M189" s="192"/>
      <c r="N189" s="192"/>
      <c r="O189" s="192" t="s">
        <v>2089</v>
      </c>
      <c r="P189" s="192" t="s">
        <v>2089</v>
      </c>
      <c r="Q189" s="192" t="s">
        <v>2088</v>
      </c>
      <c r="R189" s="192" t="s">
        <v>2088</v>
      </c>
      <c r="S189" s="192" t="s">
        <v>2088</v>
      </c>
      <c r="T189" s="203">
        <v>1.2</v>
      </c>
      <c r="U189" s="203"/>
      <c r="V189" s="203">
        <v>2.35</v>
      </c>
      <c r="W189" s="192"/>
      <c r="X189" s="192">
        <v>29.52</v>
      </c>
      <c r="Y189" s="192">
        <v>0.8</v>
      </c>
      <c r="Z189" s="192"/>
      <c r="AA189" s="192">
        <f t="shared" si="13"/>
        <v>28.72</v>
      </c>
    </row>
    <row r="190" spans="1:27" ht="13.5">
      <c r="A190" s="767"/>
      <c r="B190" s="767"/>
      <c r="C190" s="194">
        <v>14</v>
      </c>
      <c r="D190" s="399" t="s">
        <v>260</v>
      </c>
      <c r="E190" s="763"/>
      <c r="F190" s="192" t="s">
        <v>2095</v>
      </c>
      <c r="G190" s="401">
        <v>20</v>
      </c>
      <c r="H190" s="401">
        <f>SUM(J190/10.5)</f>
        <v>12.476190476190476</v>
      </c>
      <c r="I190" s="192">
        <v>131</v>
      </c>
      <c r="J190" s="192">
        <v>131</v>
      </c>
      <c r="K190" s="192" t="s">
        <v>2095</v>
      </c>
      <c r="L190" s="192">
        <v>3</v>
      </c>
      <c r="M190" s="192"/>
      <c r="N190" s="192"/>
      <c r="O190" s="192" t="s">
        <v>2089</v>
      </c>
      <c r="P190" s="192" t="s">
        <v>2089</v>
      </c>
      <c r="Q190" s="192" t="s">
        <v>2088</v>
      </c>
      <c r="R190" s="192" t="s">
        <v>2088</v>
      </c>
      <c r="S190" s="192" t="s">
        <v>2088</v>
      </c>
      <c r="T190" s="192">
        <v>2.1</v>
      </c>
      <c r="U190" s="192"/>
      <c r="V190" s="192">
        <v>3.45</v>
      </c>
      <c r="W190" s="192"/>
      <c r="X190" s="192">
        <v>9.86</v>
      </c>
      <c r="Y190" s="192">
        <v>0.8</v>
      </c>
      <c r="Z190" s="192"/>
      <c r="AA190" s="192">
        <f t="shared" si="13"/>
        <v>9.059999999999999</v>
      </c>
    </row>
    <row r="191" spans="1:27" ht="13.5">
      <c r="A191" s="767"/>
      <c r="B191" s="767"/>
      <c r="C191" s="194">
        <v>15</v>
      </c>
      <c r="D191" s="399" t="s">
        <v>261</v>
      </c>
      <c r="E191" s="763"/>
      <c r="F191" s="192" t="s">
        <v>2095</v>
      </c>
      <c r="G191" s="401">
        <f>SUM(I191/10.5)</f>
        <v>35.61904761904762</v>
      </c>
      <c r="H191" s="401">
        <f>SUM(J191/10.5)</f>
        <v>35.61904761904762</v>
      </c>
      <c r="I191" s="192">
        <v>374</v>
      </c>
      <c r="J191" s="192">
        <v>374</v>
      </c>
      <c r="K191" s="192" t="s">
        <v>2095</v>
      </c>
      <c r="L191" s="192">
        <v>3</v>
      </c>
      <c r="M191" s="192"/>
      <c r="N191" s="192"/>
      <c r="O191" s="192" t="s">
        <v>2089</v>
      </c>
      <c r="P191" s="192" t="s">
        <v>2089</v>
      </c>
      <c r="Q191" s="192" t="s">
        <v>2088</v>
      </c>
      <c r="R191" s="192" t="s">
        <v>2088</v>
      </c>
      <c r="S191" s="192" t="s">
        <v>2088</v>
      </c>
      <c r="T191" s="192">
        <v>2.5</v>
      </c>
      <c r="U191" s="192"/>
      <c r="V191" s="192">
        <v>3.48</v>
      </c>
      <c r="W191" s="192"/>
      <c r="X191" s="192">
        <v>22.44</v>
      </c>
      <c r="Y191" s="192">
        <v>0.8</v>
      </c>
      <c r="Z191" s="192"/>
      <c r="AA191" s="192">
        <f t="shared" si="13"/>
        <v>21.64</v>
      </c>
    </row>
    <row r="192" spans="1:27" ht="13.5">
      <c r="A192" s="767"/>
      <c r="B192" s="767"/>
      <c r="C192" s="194">
        <v>16</v>
      </c>
      <c r="D192" s="399" t="s">
        <v>262</v>
      </c>
      <c r="E192" s="763"/>
      <c r="F192" s="192" t="s">
        <v>2095</v>
      </c>
      <c r="G192" s="401">
        <f>SUM(I192/10.5)</f>
        <v>22.38095238095238</v>
      </c>
      <c r="H192" s="401">
        <f>SUM(J192/10.5)</f>
        <v>22.38095238095238</v>
      </c>
      <c r="I192" s="192">
        <v>235</v>
      </c>
      <c r="J192" s="192">
        <v>235</v>
      </c>
      <c r="K192" s="192" t="s">
        <v>2095</v>
      </c>
      <c r="L192" s="192">
        <v>3</v>
      </c>
      <c r="M192" s="192"/>
      <c r="N192" s="192"/>
      <c r="O192" s="192" t="s">
        <v>2089</v>
      </c>
      <c r="P192" s="192" t="s">
        <v>2089</v>
      </c>
      <c r="Q192" s="192" t="s">
        <v>2088</v>
      </c>
      <c r="R192" s="192" t="s">
        <v>2088</v>
      </c>
      <c r="S192" s="192" t="s">
        <v>2088</v>
      </c>
      <c r="T192" s="192">
        <v>2.1</v>
      </c>
      <c r="U192" s="192"/>
      <c r="V192" s="192">
        <v>3.56</v>
      </c>
      <c r="W192" s="192"/>
      <c r="X192" s="192">
        <v>14.1</v>
      </c>
      <c r="Y192" s="192">
        <v>0.8</v>
      </c>
      <c r="Z192" s="192"/>
      <c r="AA192" s="192">
        <f t="shared" si="13"/>
        <v>13.299999999999999</v>
      </c>
    </row>
    <row r="193" spans="1:27" ht="13.5">
      <c r="A193" s="767"/>
      <c r="B193" s="767"/>
      <c r="C193" s="194">
        <v>17</v>
      </c>
      <c r="D193" s="399" t="s">
        <v>263</v>
      </c>
      <c r="E193" s="764"/>
      <c r="F193" s="387" t="s">
        <v>2095</v>
      </c>
      <c r="G193" s="403">
        <f>SUM(I193/10.5)</f>
        <v>24.761904761904763</v>
      </c>
      <c r="H193" s="403">
        <f>SUM(J193/10.5)</f>
        <v>24.761904761904763</v>
      </c>
      <c r="I193" s="387">
        <v>260</v>
      </c>
      <c r="J193" s="387">
        <v>260</v>
      </c>
      <c r="K193" s="387" t="s">
        <v>2095</v>
      </c>
      <c r="L193" s="387">
        <v>3</v>
      </c>
      <c r="M193" s="387"/>
      <c r="N193" s="387"/>
      <c r="O193" s="387" t="s">
        <v>2089</v>
      </c>
      <c r="P193" s="387" t="s">
        <v>2089</v>
      </c>
      <c r="Q193" s="387" t="s">
        <v>2088</v>
      </c>
      <c r="R193" s="192" t="s">
        <v>2088</v>
      </c>
      <c r="S193" s="192" t="s">
        <v>2088</v>
      </c>
      <c r="T193" s="203">
        <v>2.6</v>
      </c>
      <c r="U193" s="203"/>
      <c r="V193" s="203">
        <v>4.27</v>
      </c>
      <c r="W193" s="387"/>
      <c r="X193" s="387">
        <v>15.6</v>
      </c>
      <c r="Y193" s="387">
        <v>0.8</v>
      </c>
      <c r="Z193" s="387"/>
      <c r="AA193" s="387">
        <f t="shared" si="13"/>
        <v>14.799999999999999</v>
      </c>
    </row>
    <row r="194" spans="1:27" ht="21">
      <c r="A194" s="767"/>
      <c r="B194" s="767"/>
      <c r="C194" s="386" t="s">
        <v>264</v>
      </c>
      <c r="D194" s="404">
        <v>5</v>
      </c>
      <c r="E194" s="405">
        <v>1</v>
      </c>
      <c r="F194" s="405">
        <v>5</v>
      </c>
      <c r="G194" s="406">
        <f>G195+G196+G197+G198+G199</f>
        <v>177.39000000000001</v>
      </c>
      <c r="H194" s="406">
        <f>H195+H196+H197+H198+H199</f>
        <v>177.35000000000002</v>
      </c>
      <c r="I194" s="407">
        <f>I195+I196+I197+I198+I199</f>
        <v>1971</v>
      </c>
      <c r="J194" s="407">
        <f>J195+J196+J197+J198+J199</f>
        <v>1971</v>
      </c>
      <c r="K194" s="405"/>
      <c r="L194" s="405"/>
      <c r="M194" s="405"/>
      <c r="N194" s="405"/>
      <c r="O194" s="405"/>
      <c r="P194" s="405"/>
      <c r="Q194" s="405"/>
      <c r="R194" s="377"/>
      <c r="S194" s="377"/>
      <c r="T194" s="408">
        <f>T195+T196+T197+T198+T199</f>
        <v>12.9</v>
      </c>
      <c r="U194" s="408"/>
      <c r="V194" s="409">
        <f>V195+V196+V197+V198+V199</f>
        <v>34.49250000000001</v>
      </c>
      <c r="W194" s="408"/>
      <c r="X194" s="410">
        <f>X195+X196+X197+X198+X199</f>
        <v>220.6775</v>
      </c>
      <c r="Y194" s="410">
        <f>Y195+Y196+Y197+Y198+Y199</f>
        <v>21</v>
      </c>
      <c r="Z194" s="410">
        <f>Z195+Z196+Z197+Z198+Z199</f>
        <v>69</v>
      </c>
      <c r="AA194" s="410">
        <f>AA195+AA196+AA197+AA198+AA199</f>
        <v>130.6775</v>
      </c>
    </row>
    <row r="195" spans="1:27" ht="13.5">
      <c r="A195" s="767"/>
      <c r="B195" s="767"/>
      <c r="C195" s="194">
        <v>1</v>
      </c>
      <c r="D195" s="399" t="s">
        <v>265</v>
      </c>
      <c r="E195" s="762" t="s">
        <v>121</v>
      </c>
      <c r="F195" s="387" t="s">
        <v>116</v>
      </c>
      <c r="G195" s="381">
        <f>I195*0.09</f>
        <v>24.57</v>
      </c>
      <c r="H195" s="381">
        <f>I195*0.09</f>
        <v>24.57</v>
      </c>
      <c r="I195" s="192">
        <f>J195</f>
        <v>273</v>
      </c>
      <c r="J195" s="192">
        <v>273</v>
      </c>
      <c r="K195" s="192" t="s">
        <v>116</v>
      </c>
      <c r="L195" s="192">
        <v>3</v>
      </c>
      <c r="M195" s="192" t="s">
        <v>116</v>
      </c>
      <c r="N195" s="192" t="s">
        <v>112</v>
      </c>
      <c r="O195" s="192" t="s">
        <v>112</v>
      </c>
      <c r="P195" s="192" t="s">
        <v>112</v>
      </c>
      <c r="Q195" s="192" t="s">
        <v>2091</v>
      </c>
      <c r="R195" s="192" t="s">
        <v>2091</v>
      </c>
      <c r="S195" s="192" t="s">
        <v>2091</v>
      </c>
      <c r="T195" s="192">
        <v>4</v>
      </c>
      <c r="U195" s="192" t="s">
        <v>2091</v>
      </c>
      <c r="V195" s="384">
        <f>I195/4*70/1000</f>
        <v>4.7775</v>
      </c>
      <c r="W195" s="192" t="s">
        <v>2091</v>
      </c>
      <c r="X195" s="384">
        <f>AA195+Z195+Y195</f>
        <v>37.332499999999996</v>
      </c>
      <c r="Y195" s="192">
        <v>3</v>
      </c>
      <c r="Z195" s="192">
        <v>12</v>
      </c>
      <c r="AA195" s="384">
        <f>(V195*1000*30+T195*1000*20)/10000</f>
        <v>22.3325</v>
      </c>
    </row>
    <row r="196" spans="1:27" ht="13.5">
      <c r="A196" s="767"/>
      <c r="B196" s="767"/>
      <c r="C196" s="194">
        <v>2</v>
      </c>
      <c r="D196" s="411" t="s">
        <v>266</v>
      </c>
      <c r="E196" s="763"/>
      <c r="F196" s="387" t="s">
        <v>116</v>
      </c>
      <c r="G196" s="381">
        <f>I196*0.09</f>
        <v>45.540000000000006</v>
      </c>
      <c r="H196" s="381">
        <f>I196*0.09</f>
        <v>45.540000000000006</v>
      </c>
      <c r="I196" s="192">
        <f>J196</f>
        <v>506.00000000000006</v>
      </c>
      <c r="J196" s="192">
        <f>460*1.1</f>
        <v>506.00000000000006</v>
      </c>
      <c r="K196" s="192" t="s">
        <v>116</v>
      </c>
      <c r="L196" s="192">
        <v>3</v>
      </c>
      <c r="M196" s="192" t="s">
        <v>116</v>
      </c>
      <c r="N196" s="192" t="s">
        <v>112</v>
      </c>
      <c r="O196" s="192" t="s">
        <v>112</v>
      </c>
      <c r="P196" s="192" t="s">
        <v>112</v>
      </c>
      <c r="Q196" s="192" t="s">
        <v>2091</v>
      </c>
      <c r="R196" s="192" t="s">
        <v>2091</v>
      </c>
      <c r="S196" s="192" t="s">
        <v>2091</v>
      </c>
      <c r="T196" s="192">
        <v>4.5</v>
      </c>
      <c r="U196" s="192" t="s">
        <v>2091</v>
      </c>
      <c r="V196" s="384">
        <f>I196/4*70/1000</f>
        <v>8.855000000000002</v>
      </c>
      <c r="W196" s="192" t="s">
        <v>2091</v>
      </c>
      <c r="X196" s="384">
        <f>AA196+Z196+Y196</f>
        <v>53.565000000000005</v>
      </c>
      <c r="Y196" s="192">
        <v>3</v>
      </c>
      <c r="Z196" s="192">
        <v>15</v>
      </c>
      <c r="AA196" s="384">
        <f>(V196*1000*30+T196*1000*20)/10000</f>
        <v>35.565000000000005</v>
      </c>
    </row>
    <row r="197" spans="1:27" ht="13.5">
      <c r="A197" s="767"/>
      <c r="B197" s="767"/>
      <c r="C197" s="194">
        <v>3</v>
      </c>
      <c r="D197" s="195" t="s">
        <v>267</v>
      </c>
      <c r="E197" s="763"/>
      <c r="F197" s="387" t="s">
        <v>116</v>
      </c>
      <c r="G197" s="381">
        <f>I197*0.09</f>
        <v>43.739999999999995</v>
      </c>
      <c r="H197" s="381">
        <f>I197*0.09</f>
        <v>43.739999999999995</v>
      </c>
      <c r="I197" s="192">
        <f>J197</f>
        <v>486</v>
      </c>
      <c r="J197" s="192">
        <v>486</v>
      </c>
      <c r="K197" s="192" t="s">
        <v>116</v>
      </c>
      <c r="L197" s="192">
        <v>3</v>
      </c>
      <c r="M197" s="192" t="s">
        <v>116</v>
      </c>
      <c r="N197" s="192" t="s">
        <v>112</v>
      </c>
      <c r="O197" s="192" t="s">
        <v>112</v>
      </c>
      <c r="P197" s="192" t="s">
        <v>112</v>
      </c>
      <c r="Q197" s="192" t="s">
        <v>2091</v>
      </c>
      <c r="R197" s="192" t="s">
        <v>2091</v>
      </c>
      <c r="S197" s="192" t="s">
        <v>2091</v>
      </c>
      <c r="T197" s="192">
        <v>3</v>
      </c>
      <c r="U197" s="192" t="s">
        <v>2091</v>
      </c>
      <c r="V197" s="384">
        <f>I197/4*70/1000</f>
        <v>8.505</v>
      </c>
      <c r="W197" s="192" t="s">
        <v>2091</v>
      </c>
      <c r="X197" s="384">
        <f>AA197+Z197+Y197</f>
        <v>49.515</v>
      </c>
      <c r="Y197" s="192">
        <v>3</v>
      </c>
      <c r="Z197" s="192">
        <v>15</v>
      </c>
      <c r="AA197" s="384">
        <f>(V197*1000*30+T197*1000*20)/10000</f>
        <v>31.515</v>
      </c>
    </row>
    <row r="198" spans="1:27" ht="13.5">
      <c r="A198" s="767"/>
      <c r="B198" s="765" t="s">
        <v>2090</v>
      </c>
      <c r="C198" s="194">
        <v>4</v>
      </c>
      <c r="D198" s="195" t="s">
        <v>268</v>
      </c>
      <c r="E198" s="763"/>
      <c r="F198" s="387" t="s">
        <v>116</v>
      </c>
      <c r="G198" s="381">
        <f>I198*0.09</f>
        <v>22.14</v>
      </c>
      <c r="H198" s="381">
        <v>22.1</v>
      </c>
      <c r="I198" s="192">
        <f>J198</f>
        <v>246</v>
      </c>
      <c r="J198" s="192">
        <v>246</v>
      </c>
      <c r="K198" s="192" t="s">
        <v>116</v>
      </c>
      <c r="L198" s="192">
        <v>3</v>
      </c>
      <c r="M198" s="192" t="s">
        <v>116</v>
      </c>
      <c r="N198" s="192" t="s">
        <v>112</v>
      </c>
      <c r="O198" s="192" t="s">
        <v>112</v>
      </c>
      <c r="P198" s="192" t="s">
        <v>112</v>
      </c>
      <c r="Q198" s="192" t="s">
        <v>112</v>
      </c>
      <c r="R198" s="192" t="s">
        <v>2091</v>
      </c>
      <c r="S198" s="192" t="s">
        <v>2091</v>
      </c>
      <c r="T198" s="192">
        <v>0.5</v>
      </c>
      <c r="U198" s="192" t="s">
        <v>2091</v>
      </c>
      <c r="V198" s="384">
        <f>I198/4*70/1000</f>
        <v>4.305</v>
      </c>
      <c r="W198" s="192" t="s">
        <v>2091</v>
      </c>
      <c r="X198" s="384">
        <f>AA198+Z198+Y198</f>
        <v>32.415</v>
      </c>
      <c r="Y198" s="192">
        <v>6</v>
      </c>
      <c r="Z198" s="192">
        <v>12</v>
      </c>
      <c r="AA198" s="384">
        <f>(V198+T198)*1000*30/10000</f>
        <v>14.415</v>
      </c>
    </row>
    <row r="199" spans="1:27" ht="13.5">
      <c r="A199" s="766"/>
      <c r="B199" s="766"/>
      <c r="C199" s="194">
        <v>5</v>
      </c>
      <c r="D199" s="195" t="s">
        <v>269</v>
      </c>
      <c r="E199" s="764"/>
      <c r="F199" s="387" t="s">
        <v>116</v>
      </c>
      <c r="G199" s="381">
        <f>I199*0.09</f>
        <v>41.4</v>
      </c>
      <c r="H199" s="381">
        <v>41.4</v>
      </c>
      <c r="I199" s="192">
        <f>J199</f>
        <v>460</v>
      </c>
      <c r="J199" s="192">
        <v>460</v>
      </c>
      <c r="K199" s="192" t="s">
        <v>116</v>
      </c>
      <c r="L199" s="192">
        <v>3</v>
      </c>
      <c r="M199" s="192" t="s">
        <v>116</v>
      </c>
      <c r="N199" s="192" t="s">
        <v>112</v>
      </c>
      <c r="O199" s="192" t="s">
        <v>112</v>
      </c>
      <c r="P199" s="192" t="s">
        <v>112</v>
      </c>
      <c r="Q199" s="192" t="s">
        <v>112</v>
      </c>
      <c r="R199" s="192" t="s">
        <v>2091</v>
      </c>
      <c r="S199" s="192" t="s">
        <v>2091</v>
      </c>
      <c r="T199" s="192">
        <v>0.9</v>
      </c>
      <c r="U199" s="192" t="s">
        <v>2091</v>
      </c>
      <c r="V199" s="384">
        <f>I199/4*70/1000</f>
        <v>8.05</v>
      </c>
      <c r="W199" s="192" t="s">
        <v>2091</v>
      </c>
      <c r="X199" s="384">
        <f>AA199+Z199+Y199</f>
        <v>47.85000000000001</v>
      </c>
      <c r="Y199" s="192">
        <v>6</v>
      </c>
      <c r="Z199" s="192">
        <v>15</v>
      </c>
      <c r="AA199" s="384">
        <f>(V199+T199)*1000*30/10000</f>
        <v>26.850000000000005</v>
      </c>
    </row>
    <row r="200" spans="1:27" ht="13.5">
      <c r="A200" s="761" t="s">
        <v>2096</v>
      </c>
      <c r="B200" s="761"/>
      <c r="C200" s="761"/>
      <c r="D200" s="761"/>
      <c r="E200" s="761"/>
      <c r="F200" s="761"/>
      <c r="G200" s="761"/>
      <c r="H200" s="761"/>
      <c r="I200" s="761"/>
      <c r="J200" s="761"/>
      <c r="K200" s="761"/>
      <c r="L200" s="761"/>
      <c r="M200" s="761"/>
      <c r="N200" s="761"/>
      <c r="O200" s="761"/>
      <c r="P200" s="761"/>
      <c r="Q200" s="761"/>
      <c r="R200" s="761"/>
      <c r="S200" s="761"/>
      <c r="T200" s="761"/>
      <c r="U200" s="761"/>
      <c r="V200" s="761"/>
      <c r="W200" s="761"/>
      <c r="X200" s="761"/>
      <c r="Y200" s="761"/>
      <c r="Z200" s="761"/>
      <c r="AA200" s="761"/>
    </row>
  </sheetData>
  <sheetProtection/>
  <mergeCells count="69">
    <mergeCell ref="Y3:AA3"/>
    <mergeCell ref="K3:W3"/>
    <mergeCell ref="X3:X6"/>
    <mergeCell ref="T4:W4"/>
    <mergeCell ref="O5:O6"/>
    <mergeCell ref="V5:V6"/>
    <mergeCell ref="M5:M6"/>
    <mergeCell ref="N5:N6"/>
    <mergeCell ref="P5:P6"/>
    <mergeCell ref="R5:R6"/>
    <mergeCell ref="A1:C1"/>
    <mergeCell ref="AA4:AA6"/>
    <mergeCell ref="L5:L7"/>
    <mergeCell ref="A2:AA2"/>
    <mergeCell ref="C3:C7"/>
    <mergeCell ref="D3:D7"/>
    <mergeCell ref="Y4:Y6"/>
    <mergeCell ref="Z4:Z6"/>
    <mergeCell ref="S5:S6"/>
    <mergeCell ref="T5:T6"/>
    <mergeCell ref="L4:S4"/>
    <mergeCell ref="Q5:Q6"/>
    <mergeCell ref="L165:L172"/>
    <mergeCell ref="M165:M172"/>
    <mergeCell ref="A3:B8"/>
    <mergeCell ref="A9:C9"/>
    <mergeCell ref="A10:A14"/>
    <mergeCell ref="K4:K6"/>
    <mergeCell ref="F3:F6"/>
    <mergeCell ref="G3:G6"/>
    <mergeCell ref="I3:I6"/>
    <mergeCell ref="E3:E7"/>
    <mergeCell ref="H4:H6"/>
    <mergeCell ref="J4:J6"/>
    <mergeCell ref="A15:A22"/>
    <mergeCell ref="B15:B20"/>
    <mergeCell ref="B21:B22"/>
    <mergeCell ref="B10:B12"/>
    <mergeCell ref="A23:A199"/>
    <mergeCell ref="B23:B197"/>
    <mergeCell ref="E25:E67"/>
    <mergeCell ref="E69:E130"/>
    <mergeCell ref="E132:E163"/>
    <mergeCell ref="E165:E172"/>
    <mergeCell ref="F165:F172"/>
    <mergeCell ref="G165:G172"/>
    <mergeCell ref="H165:H172"/>
    <mergeCell ref="I165:I172"/>
    <mergeCell ref="J165:J172"/>
    <mergeCell ref="K165:K172"/>
    <mergeCell ref="W165:W172"/>
    <mergeCell ref="X165:X172"/>
    <mergeCell ref="Y165:Y172"/>
    <mergeCell ref="N165:N172"/>
    <mergeCell ref="O165:O172"/>
    <mergeCell ref="P165:P172"/>
    <mergeCell ref="Q165:Q172"/>
    <mergeCell ref="R165:R172"/>
    <mergeCell ref="S165:S172"/>
    <mergeCell ref="A200:AA200"/>
    <mergeCell ref="Z165:Z172"/>
    <mergeCell ref="AA165:AA172"/>
    <mergeCell ref="E174:E175"/>
    <mergeCell ref="E177:E193"/>
    <mergeCell ref="E195:E199"/>
    <mergeCell ref="B198:B199"/>
    <mergeCell ref="T165:T172"/>
    <mergeCell ref="U165:U172"/>
    <mergeCell ref="V165:V172"/>
  </mergeCells>
  <printOptions/>
  <pageMargins left="0.7086614173228347" right="0.7086614173228347" top="0.66" bottom="0.7480314960629921" header="0.31496062992125984" footer="0.31496062992125984"/>
  <pageSetup horizontalDpi="600" verticalDpi="600" orientation="landscape" paperSize="8" r:id="rId1"/>
  <headerFooter>
    <oddFooter>&amp;C第 &amp;P 页，共 &amp;N 页</oddFooter>
  </headerFooter>
</worksheet>
</file>

<file path=xl/worksheets/sheet11.xml><?xml version="1.0" encoding="utf-8"?>
<worksheet xmlns="http://schemas.openxmlformats.org/spreadsheetml/2006/main" xmlns:r="http://schemas.openxmlformats.org/officeDocument/2006/relationships">
  <sheetPr>
    <tabColor rgb="FFFF0000"/>
  </sheetPr>
  <dimension ref="A1:U165"/>
  <sheetViews>
    <sheetView zoomScalePageLayoutView="0" workbookViewId="0" topLeftCell="A1">
      <selection activeCell="U9" sqref="U9"/>
    </sheetView>
  </sheetViews>
  <sheetFormatPr defaultColWidth="9.00390625" defaultRowHeight="13.5"/>
  <cols>
    <col min="1" max="2" width="4.50390625" style="260" customWidth="1"/>
    <col min="3" max="3" width="9.00390625" style="260" customWidth="1"/>
    <col min="4" max="6" width="7.875" style="260" customWidth="1"/>
    <col min="7" max="7" width="7.625" style="260" customWidth="1"/>
    <col min="8" max="10" width="7.50390625" style="260" customWidth="1"/>
    <col min="11" max="15" width="6.375" style="260" customWidth="1"/>
    <col min="16" max="16384" width="9.00390625" style="260" customWidth="1"/>
  </cols>
  <sheetData>
    <row r="1" spans="1:4" ht="13.5">
      <c r="A1" s="794" t="s">
        <v>2098</v>
      </c>
      <c r="B1" s="794"/>
      <c r="C1" s="794"/>
      <c r="D1" s="794"/>
    </row>
    <row r="2" spans="1:18" ht="21.75">
      <c r="A2" s="784" t="s">
        <v>270</v>
      </c>
      <c r="B2" s="784"/>
      <c r="C2" s="784"/>
      <c r="D2" s="784"/>
      <c r="E2" s="784"/>
      <c r="F2" s="784"/>
      <c r="G2" s="784"/>
      <c r="H2" s="784"/>
      <c r="I2" s="784"/>
      <c r="J2" s="784"/>
      <c r="K2" s="784"/>
      <c r="L2" s="784"/>
      <c r="M2" s="784"/>
      <c r="N2" s="784"/>
      <c r="O2" s="784"/>
      <c r="P2" s="784"/>
      <c r="Q2" s="784"/>
      <c r="R2" s="784"/>
    </row>
    <row r="3" spans="1:18" ht="13.5">
      <c r="A3" s="795" t="s">
        <v>2057</v>
      </c>
      <c r="B3" s="796"/>
      <c r="C3" s="801" t="s">
        <v>2099</v>
      </c>
      <c r="D3" s="801"/>
      <c r="E3" s="801"/>
      <c r="F3" s="801"/>
      <c r="G3" s="801" t="s">
        <v>2100</v>
      </c>
      <c r="H3" s="801"/>
      <c r="I3" s="801"/>
      <c r="J3" s="801"/>
      <c r="K3" s="801"/>
      <c r="L3" s="801"/>
      <c r="M3" s="801"/>
      <c r="N3" s="801"/>
      <c r="O3" s="801" t="s">
        <v>1167</v>
      </c>
      <c r="P3" s="801"/>
      <c r="Q3" s="801"/>
      <c r="R3" s="801"/>
    </row>
    <row r="4" spans="1:18" ht="81.75" customHeight="1">
      <c r="A4" s="797"/>
      <c r="B4" s="798"/>
      <c r="C4" s="375" t="s">
        <v>2101</v>
      </c>
      <c r="D4" s="375" t="s">
        <v>2060</v>
      </c>
      <c r="E4" s="375" t="s">
        <v>2061</v>
      </c>
      <c r="F4" s="375" t="s">
        <v>2102</v>
      </c>
      <c r="G4" s="375" t="s">
        <v>2103</v>
      </c>
      <c r="H4" s="375" t="s">
        <v>2060</v>
      </c>
      <c r="I4" s="375" t="s">
        <v>2061</v>
      </c>
      <c r="J4" s="375" t="s">
        <v>2102</v>
      </c>
      <c r="K4" s="375" t="s">
        <v>2104</v>
      </c>
      <c r="L4" s="375" t="s">
        <v>2105</v>
      </c>
      <c r="M4" s="375" t="s">
        <v>2106</v>
      </c>
      <c r="N4" s="375" t="s">
        <v>2107</v>
      </c>
      <c r="O4" s="375" t="s">
        <v>2108</v>
      </c>
      <c r="P4" s="375" t="s">
        <v>2060</v>
      </c>
      <c r="Q4" s="375" t="s">
        <v>2061</v>
      </c>
      <c r="R4" s="375" t="s">
        <v>702</v>
      </c>
    </row>
    <row r="5" spans="1:18" ht="14.25">
      <c r="A5" s="797"/>
      <c r="B5" s="798"/>
      <c r="C5" s="375" t="s">
        <v>705</v>
      </c>
      <c r="D5" s="412" t="s">
        <v>2083</v>
      </c>
      <c r="E5" s="375" t="s">
        <v>2084</v>
      </c>
      <c r="F5" s="375" t="s">
        <v>2086</v>
      </c>
      <c r="G5" s="375" t="s">
        <v>705</v>
      </c>
      <c r="H5" s="412" t="s">
        <v>2083</v>
      </c>
      <c r="I5" s="375" t="s">
        <v>2084</v>
      </c>
      <c r="J5" s="375" t="s">
        <v>2086</v>
      </c>
      <c r="K5" s="375" t="s">
        <v>705</v>
      </c>
      <c r="L5" s="375" t="s">
        <v>705</v>
      </c>
      <c r="M5" s="375" t="s">
        <v>705</v>
      </c>
      <c r="N5" s="375" t="s">
        <v>705</v>
      </c>
      <c r="O5" s="375" t="s">
        <v>705</v>
      </c>
      <c r="P5" s="412" t="s">
        <v>2083</v>
      </c>
      <c r="Q5" s="375" t="s">
        <v>2084</v>
      </c>
      <c r="R5" s="375" t="s">
        <v>2086</v>
      </c>
    </row>
    <row r="6" spans="1:18" ht="13.5">
      <c r="A6" s="799"/>
      <c r="B6" s="800"/>
      <c r="C6" s="375">
        <v>1</v>
      </c>
      <c r="D6" s="375">
        <v>2</v>
      </c>
      <c r="E6" s="375">
        <v>3</v>
      </c>
      <c r="F6" s="375">
        <v>4</v>
      </c>
      <c r="G6" s="375">
        <v>5</v>
      </c>
      <c r="H6" s="375">
        <v>6</v>
      </c>
      <c r="I6" s="375">
        <v>7</v>
      </c>
      <c r="J6" s="375">
        <v>8</v>
      </c>
      <c r="K6" s="375">
        <v>9</v>
      </c>
      <c r="L6" s="375">
        <v>10</v>
      </c>
      <c r="M6" s="375">
        <v>11</v>
      </c>
      <c r="N6" s="375">
        <v>12</v>
      </c>
      <c r="O6" s="375">
        <v>13</v>
      </c>
      <c r="P6" s="375">
        <v>14</v>
      </c>
      <c r="Q6" s="375">
        <v>15</v>
      </c>
      <c r="R6" s="375">
        <v>16</v>
      </c>
    </row>
    <row r="7" spans="1:18" ht="13.5">
      <c r="A7" s="774" t="s">
        <v>1746</v>
      </c>
      <c r="B7" s="774"/>
      <c r="C7" s="376">
        <f>C8+C58+C107+C146+C156</f>
        <v>102</v>
      </c>
      <c r="D7" s="376">
        <f aca="true" t="shared" si="0" ref="D7:R7">D8+D58+D107+D146+D156</f>
        <v>1208.2149999999997</v>
      </c>
      <c r="E7" s="376">
        <f t="shared" si="0"/>
        <v>14245</v>
      </c>
      <c r="F7" s="376">
        <f t="shared" si="0"/>
        <v>1039.545</v>
      </c>
      <c r="G7" s="376">
        <f t="shared" si="0"/>
        <v>87</v>
      </c>
      <c r="H7" s="413">
        <f t="shared" si="0"/>
        <v>966.2249999999999</v>
      </c>
      <c r="I7" s="376">
        <f t="shared" si="0"/>
        <v>12305</v>
      </c>
      <c r="J7" s="413">
        <f t="shared" si="0"/>
        <v>796.8000000000001</v>
      </c>
      <c r="K7" s="376">
        <f t="shared" si="0"/>
        <v>48</v>
      </c>
      <c r="L7" s="376"/>
      <c r="M7" s="376">
        <f t="shared" si="0"/>
        <v>38</v>
      </c>
      <c r="N7" s="376">
        <f t="shared" si="0"/>
        <v>87</v>
      </c>
      <c r="O7" s="376">
        <f t="shared" si="0"/>
        <v>189</v>
      </c>
      <c r="P7" s="376">
        <f t="shared" si="0"/>
        <v>2174.439999999999</v>
      </c>
      <c r="Q7" s="376">
        <f t="shared" si="0"/>
        <v>26550</v>
      </c>
      <c r="R7" s="376">
        <f t="shared" si="0"/>
        <v>1836.3450000000005</v>
      </c>
    </row>
    <row r="8" spans="1:18" ht="13.5">
      <c r="A8" s="774" t="s">
        <v>2092</v>
      </c>
      <c r="B8" s="774"/>
      <c r="C8" s="376">
        <v>49</v>
      </c>
      <c r="D8" s="413">
        <f>D9+D10+D11+D12+D13+D14+D15+D16+D17+D18+D19+D20+D21+D22+D23+D24+D25+D26+D27+D28+D29+D30+D31+D32+D33+D34+D35+D36+D37+D38+D39+D40+D41+D42+D43+D44+D45+D46+D47+D48+D49+D50+D51+D52+D53+D54+D55+D56+D57</f>
        <v>608.0349999999997</v>
      </c>
      <c r="E8" s="414">
        <f>E9+E10+E11+E12+E13+E14+E15+E16+E17+E18+E19+E20+E21+E22+E23+E24+E25+E26+E27+E28+E29+E30+E31+E32+E33+E34+E35+E36+E37+E38+E39+E40+E41+E42+E43+E44+E45+E46+E47+E48+E49+E50+E51+E52+E53+E54+E55+E56+E57</f>
        <v>8107</v>
      </c>
      <c r="F8" s="413">
        <f aca="true" t="shared" si="1" ref="F8:R8">F9+F10+F11+F12+F13+F14+F15+F16+F17+F18+F19+F20+F21+F22+F23+F24+F25+F26+F27+F28+F29+F30+F31+F32+F33+F34+F35+F36+F37+F38+F39+F40+F41+F42+F43+F44+F45+F46+F47+F48+F49+F50+F51+F52+F53+F54+F55+F56+F57</f>
        <v>689.0949999999999</v>
      </c>
      <c r="G8" s="414">
        <v>24</v>
      </c>
      <c r="H8" s="413">
        <f t="shared" si="1"/>
        <v>305.255</v>
      </c>
      <c r="I8" s="414">
        <f t="shared" si="1"/>
        <v>4070</v>
      </c>
      <c r="J8" s="413">
        <f t="shared" si="1"/>
        <v>305.25</v>
      </c>
      <c r="K8" s="414">
        <f t="shared" si="1"/>
        <v>23</v>
      </c>
      <c r="L8" s="414"/>
      <c r="M8" s="414"/>
      <c r="N8" s="414">
        <f t="shared" si="1"/>
        <v>24</v>
      </c>
      <c r="O8" s="414">
        <f t="shared" si="1"/>
        <v>73</v>
      </c>
      <c r="P8" s="413">
        <f t="shared" si="1"/>
        <v>913.2899999999994</v>
      </c>
      <c r="Q8" s="414">
        <f t="shared" si="1"/>
        <v>12177</v>
      </c>
      <c r="R8" s="413">
        <f t="shared" si="1"/>
        <v>994.3450000000001</v>
      </c>
    </row>
    <row r="9" spans="1:21" ht="13.5">
      <c r="A9" s="765" t="s">
        <v>271</v>
      </c>
      <c r="B9" s="802" t="s">
        <v>2087</v>
      </c>
      <c r="C9" s="195" t="s">
        <v>272</v>
      </c>
      <c r="D9" s="395">
        <v>3</v>
      </c>
      <c r="E9" s="197">
        <v>40</v>
      </c>
      <c r="F9" s="193">
        <v>3.4</v>
      </c>
      <c r="G9" s="195" t="s">
        <v>1457</v>
      </c>
      <c r="H9" s="388">
        <v>12.53</v>
      </c>
      <c r="I9" s="195">
        <v>167</v>
      </c>
      <c r="J9" s="399">
        <v>12.525</v>
      </c>
      <c r="K9" s="193">
        <v>1</v>
      </c>
      <c r="L9" s="415"/>
      <c r="M9" s="193"/>
      <c r="N9" s="193">
        <v>1</v>
      </c>
      <c r="O9" s="193">
        <v>2</v>
      </c>
      <c r="P9" s="399">
        <f>D9+H9</f>
        <v>15.53</v>
      </c>
      <c r="Q9" s="193">
        <f>E9+I9</f>
        <v>207</v>
      </c>
      <c r="R9" s="399">
        <f>F9+J9</f>
        <v>15.925</v>
      </c>
      <c r="U9" s="260">
        <f>14904.4+R7</f>
        <v>16740.745</v>
      </c>
    </row>
    <row r="10" spans="1:18" ht="13.5">
      <c r="A10" s="767"/>
      <c r="B10" s="803"/>
      <c r="C10" s="195" t="s">
        <v>1468</v>
      </c>
      <c r="D10" s="388">
        <v>11.85</v>
      </c>
      <c r="E10" s="197">
        <v>158</v>
      </c>
      <c r="F10" s="193">
        <v>13.43</v>
      </c>
      <c r="G10" s="195" t="s">
        <v>1458</v>
      </c>
      <c r="H10" s="395">
        <v>15.3</v>
      </c>
      <c r="I10" s="195">
        <v>204</v>
      </c>
      <c r="J10" s="193">
        <v>15.3</v>
      </c>
      <c r="K10" s="193">
        <v>1</v>
      </c>
      <c r="L10" s="415"/>
      <c r="M10" s="193"/>
      <c r="N10" s="193">
        <v>1</v>
      </c>
      <c r="O10" s="193">
        <v>2</v>
      </c>
      <c r="P10" s="399">
        <f aca="true" t="shared" si="2" ref="P10:R57">D10+H10</f>
        <v>27.15</v>
      </c>
      <c r="Q10" s="193">
        <f t="shared" si="2"/>
        <v>362</v>
      </c>
      <c r="R10" s="399">
        <f t="shared" si="2"/>
        <v>28.73</v>
      </c>
    </row>
    <row r="11" spans="1:18" ht="13.5">
      <c r="A11" s="767"/>
      <c r="B11" s="803"/>
      <c r="C11" s="197" t="s">
        <v>273</v>
      </c>
      <c r="D11" s="391">
        <v>13.2</v>
      </c>
      <c r="E11" s="197">
        <v>176</v>
      </c>
      <c r="F11" s="193">
        <v>14.96</v>
      </c>
      <c r="G11" s="195" t="s">
        <v>1459</v>
      </c>
      <c r="H11" s="388">
        <v>11.85</v>
      </c>
      <c r="I11" s="197">
        <v>158</v>
      </c>
      <c r="J11" s="193">
        <v>11.85</v>
      </c>
      <c r="K11" s="193">
        <v>1</v>
      </c>
      <c r="L11" s="415"/>
      <c r="M11" s="193"/>
      <c r="N11" s="193">
        <v>1</v>
      </c>
      <c r="O11" s="193">
        <v>2</v>
      </c>
      <c r="P11" s="399">
        <f t="shared" si="2"/>
        <v>25.049999999999997</v>
      </c>
      <c r="Q11" s="193">
        <f t="shared" si="2"/>
        <v>334</v>
      </c>
      <c r="R11" s="399">
        <f t="shared" si="2"/>
        <v>26.810000000000002</v>
      </c>
    </row>
    <row r="12" spans="1:18" ht="13.5">
      <c r="A12" s="767"/>
      <c r="B12" s="803"/>
      <c r="C12" s="197" t="s">
        <v>274</v>
      </c>
      <c r="D12" s="388">
        <v>13.275</v>
      </c>
      <c r="E12" s="197">
        <v>177</v>
      </c>
      <c r="F12" s="399">
        <v>15.045</v>
      </c>
      <c r="G12" s="195" t="s">
        <v>1460</v>
      </c>
      <c r="H12" s="395">
        <v>9</v>
      </c>
      <c r="I12" s="197">
        <v>120</v>
      </c>
      <c r="J12" s="193">
        <v>9</v>
      </c>
      <c r="K12" s="193">
        <v>1</v>
      </c>
      <c r="L12" s="415"/>
      <c r="M12" s="193"/>
      <c r="N12" s="193">
        <v>1</v>
      </c>
      <c r="O12" s="193">
        <v>2</v>
      </c>
      <c r="P12" s="399">
        <f t="shared" si="2"/>
        <v>22.275</v>
      </c>
      <c r="Q12" s="193">
        <f t="shared" si="2"/>
        <v>297</v>
      </c>
      <c r="R12" s="399">
        <f t="shared" si="2"/>
        <v>24.045</v>
      </c>
    </row>
    <row r="13" spans="1:18" ht="13.5">
      <c r="A13" s="767"/>
      <c r="B13" s="803"/>
      <c r="C13" s="198" t="s">
        <v>275</v>
      </c>
      <c r="D13" s="388">
        <v>9.825</v>
      </c>
      <c r="E13" s="198">
        <v>131</v>
      </c>
      <c r="F13" s="399">
        <v>11.135</v>
      </c>
      <c r="G13" s="195" t="s">
        <v>276</v>
      </c>
      <c r="H13" s="388">
        <v>10.425</v>
      </c>
      <c r="I13" s="195">
        <v>139</v>
      </c>
      <c r="J13" s="399">
        <v>10.425</v>
      </c>
      <c r="K13" s="193">
        <v>1</v>
      </c>
      <c r="L13" s="415"/>
      <c r="M13" s="193"/>
      <c r="N13" s="193">
        <v>1</v>
      </c>
      <c r="O13" s="193">
        <v>2</v>
      </c>
      <c r="P13" s="399">
        <f t="shared" si="2"/>
        <v>20.25</v>
      </c>
      <c r="Q13" s="193">
        <f t="shared" si="2"/>
        <v>270</v>
      </c>
      <c r="R13" s="399">
        <f t="shared" si="2"/>
        <v>21.560000000000002</v>
      </c>
    </row>
    <row r="14" spans="1:18" ht="13.5">
      <c r="A14" s="767"/>
      <c r="B14" s="803"/>
      <c r="C14" s="198" t="s">
        <v>277</v>
      </c>
      <c r="D14" s="388">
        <v>4.575</v>
      </c>
      <c r="E14" s="198">
        <v>61</v>
      </c>
      <c r="F14" s="399">
        <v>5.185</v>
      </c>
      <c r="G14" s="195" t="s">
        <v>278</v>
      </c>
      <c r="H14" s="388">
        <v>19.125</v>
      </c>
      <c r="I14" s="195">
        <v>255</v>
      </c>
      <c r="J14" s="399">
        <v>19.125</v>
      </c>
      <c r="K14" s="193">
        <v>1</v>
      </c>
      <c r="L14" s="415"/>
      <c r="M14" s="193"/>
      <c r="N14" s="193">
        <v>1</v>
      </c>
      <c r="O14" s="193">
        <v>2</v>
      </c>
      <c r="P14" s="399">
        <f t="shared" si="2"/>
        <v>23.7</v>
      </c>
      <c r="Q14" s="193">
        <f t="shared" si="2"/>
        <v>316</v>
      </c>
      <c r="R14" s="399">
        <f t="shared" si="2"/>
        <v>24.31</v>
      </c>
    </row>
    <row r="15" spans="1:18" ht="13.5">
      <c r="A15" s="767"/>
      <c r="B15" s="803"/>
      <c r="C15" s="198" t="s">
        <v>279</v>
      </c>
      <c r="D15" s="391">
        <v>11.7</v>
      </c>
      <c r="E15" s="198">
        <v>156</v>
      </c>
      <c r="F15" s="193">
        <v>13.26</v>
      </c>
      <c r="G15" s="195" t="s">
        <v>280</v>
      </c>
      <c r="H15" s="388">
        <v>10.725</v>
      </c>
      <c r="I15" s="195">
        <v>143</v>
      </c>
      <c r="J15" s="399">
        <v>10.725</v>
      </c>
      <c r="K15" s="193">
        <v>1</v>
      </c>
      <c r="L15" s="415"/>
      <c r="M15" s="193"/>
      <c r="N15" s="193">
        <v>1</v>
      </c>
      <c r="O15" s="193">
        <v>2</v>
      </c>
      <c r="P15" s="399">
        <f t="shared" si="2"/>
        <v>22.424999999999997</v>
      </c>
      <c r="Q15" s="193">
        <f t="shared" si="2"/>
        <v>299</v>
      </c>
      <c r="R15" s="399">
        <f t="shared" si="2"/>
        <v>23.985</v>
      </c>
    </row>
    <row r="16" spans="1:18" ht="13.5">
      <c r="A16" s="767"/>
      <c r="B16" s="803"/>
      <c r="C16" s="198" t="s">
        <v>1469</v>
      </c>
      <c r="D16" s="391">
        <v>13.2</v>
      </c>
      <c r="E16" s="198">
        <v>176</v>
      </c>
      <c r="F16" s="193">
        <v>14.96</v>
      </c>
      <c r="G16" s="195" t="s">
        <v>281</v>
      </c>
      <c r="H16" s="391">
        <v>12.3</v>
      </c>
      <c r="I16" s="195">
        <v>164</v>
      </c>
      <c r="J16" s="193">
        <v>12.3</v>
      </c>
      <c r="K16" s="193">
        <v>1</v>
      </c>
      <c r="L16" s="415"/>
      <c r="M16" s="193"/>
      <c r="N16" s="193">
        <v>1</v>
      </c>
      <c r="O16" s="193">
        <v>2</v>
      </c>
      <c r="P16" s="399">
        <f t="shared" si="2"/>
        <v>25.5</v>
      </c>
      <c r="Q16" s="193">
        <f t="shared" si="2"/>
        <v>340</v>
      </c>
      <c r="R16" s="399">
        <f t="shared" si="2"/>
        <v>27.26</v>
      </c>
    </row>
    <row r="17" spans="1:18" ht="13.5">
      <c r="A17" s="767"/>
      <c r="B17" s="803"/>
      <c r="C17" s="195" t="s">
        <v>282</v>
      </c>
      <c r="D17" s="391">
        <v>10.5</v>
      </c>
      <c r="E17" s="195">
        <v>140</v>
      </c>
      <c r="F17" s="193">
        <v>11.9</v>
      </c>
      <c r="G17" s="195" t="s">
        <v>283</v>
      </c>
      <c r="H17" s="388">
        <v>11.025</v>
      </c>
      <c r="I17" s="195">
        <v>147</v>
      </c>
      <c r="J17" s="399">
        <v>11.025</v>
      </c>
      <c r="K17" s="193">
        <v>1</v>
      </c>
      <c r="L17" s="415"/>
      <c r="M17" s="193"/>
      <c r="N17" s="193">
        <v>1</v>
      </c>
      <c r="O17" s="193">
        <v>2</v>
      </c>
      <c r="P17" s="399">
        <f t="shared" si="2"/>
        <v>21.525</v>
      </c>
      <c r="Q17" s="193">
        <f t="shared" si="2"/>
        <v>287</v>
      </c>
      <c r="R17" s="399">
        <f t="shared" si="2"/>
        <v>22.925</v>
      </c>
    </row>
    <row r="18" spans="1:18" ht="13.5">
      <c r="A18" s="767"/>
      <c r="B18" s="803"/>
      <c r="C18" s="198" t="s">
        <v>284</v>
      </c>
      <c r="D18" s="391">
        <v>14.85</v>
      </c>
      <c r="E18" s="198">
        <v>198</v>
      </c>
      <c r="F18" s="193">
        <v>16.83</v>
      </c>
      <c r="G18" s="195" t="s">
        <v>285</v>
      </c>
      <c r="H18" s="391">
        <v>2.7</v>
      </c>
      <c r="I18" s="195">
        <v>36</v>
      </c>
      <c r="J18" s="193">
        <v>2.7</v>
      </c>
      <c r="K18" s="193">
        <v>1</v>
      </c>
      <c r="L18" s="415"/>
      <c r="M18" s="193"/>
      <c r="N18" s="193">
        <v>1</v>
      </c>
      <c r="O18" s="193">
        <v>2</v>
      </c>
      <c r="P18" s="399">
        <f t="shared" si="2"/>
        <v>17.55</v>
      </c>
      <c r="Q18" s="193">
        <f t="shared" si="2"/>
        <v>234</v>
      </c>
      <c r="R18" s="399">
        <f t="shared" si="2"/>
        <v>19.529999999999998</v>
      </c>
    </row>
    <row r="19" spans="1:18" ht="13.5">
      <c r="A19" s="767"/>
      <c r="B19" s="803"/>
      <c r="C19" s="198" t="s">
        <v>286</v>
      </c>
      <c r="D19" s="388">
        <v>12.225</v>
      </c>
      <c r="E19" s="198">
        <v>163</v>
      </c>
      <c r="F19" s="399">
        <v>13.855</v>
      </c>
      <c r="G19" s="416" t="s">
        <v>1461</v>
      </c>
      <c r="H19" s="391">
        <v>14.4</v>
      </c>
      <c r="I19" s="416">
        <v>192</v>
      </c>
      <c r="J19" s="193">
        <v>14.4</v>
      </c>
      <c r="K19" s="193">
        <v>1</v>
      </c>
      <c r="L19" s="415"/>
      <c r="M19" s="193"/>
      <c r="N19" s="193">
        <v>1</v>
      </c>
      <c r="O19" s="193">
        <v>2</v>
      </c>
      <c r="P19" s="399">
        <f t="shared" si="2"/>
        <v>26.625</v>
      </c>
      <c r="Q19" s="193">
        <f t="shared" si="2"/>
        <v>355</v>
      </c>
      <c r="R19" s="399">
        <f t="shared" si="2"/>
        <v>28.255000000000003</v>
      </c>
    </row>
    <row r="20" spans="1:18" ht="13.5">
      <c r="A20" s="767"/>
      <c r="B20" s="803"/>
      <c r="C20" s="198" t="s">
        <v>287</v>
      </c>
      <c r="D20" s="391">
        <v>16.2</v>
      </c>
      <c r="E20" s="198">
        <v>216</v>
      </c>
      <c r="F20" s="193">
        <v>18.36</v>
      </c>
      <c r="G20" s="198" t="s">
        <v>1462</v>
      </c>
      <c r="H20" s="388">
        <v>10.725</v>
      </c>
      <c r="I20" s="198">
        <v>143</v>
      </c>
      <c r="J20" s="399">
        <v>10.725</v>
      </c>
      <c r="K20" s="193">
        <v>1</v>
      </c>
      <c r="L20" s="415"/>
      <c r="M20" s="193"/>
      <c r="N20" s="193">
        <v>1</v>
      </c>
      <c r="O20" s="193">
        <v>2</v>
      </c>
      <c r="P20" s="399">
        <f t="shared" si="2"/>
        <v>26.924999999999997</v>
      </c>
      <c r="Q20" s="193">
        <f t="shared" si="2"/>
        <v>359</v>
      </c>
      <c r="R20" s="399">
        <f t="shared" si="2"/>
        <v>29.085</v>
      </c>
    </row>
    <row r="21" spans="1:18" ht="13.5">
      <c r="A21" s="767"/>
      <c r="B21" s="803"/>
      <c r="C21" s="198" t="s">
        <v>288</v>
      </c>
      <c r="D21" s="391">
        <v>17.85</v>
      </c>
      <c r="E21" s="198">
        <v>238</v>
      </c>
      <c r="F21" s="193">
        <v>20.23</v>
      </c>
      <c r="G21" s="198" t="s">
        <v>1463</v>
      </c>
      <c r="H21" s="391">
        <v>16.5</v>
      </c>
      <c r="I21" s="198">
        <v>220</v>
      </c>
      <c r="J21" s="193">
        <v>16.5</v>
      </c>
      <c r="K21" s="193">
        <v>1</v>
      </c>
      <c r="L21" s="415"/>
      <c r="M21" s="193"/>
      <c r="N21" s="193">
        <v>1</v>
      </c>
      <c r="O21" s="193">
        <v>2</v>
      </c>
      <c r="P21" s="399">
        <f t="shared" si="2"/>
        <v>34.35</v>
      </c>
      <c r="Q21" s="193">
        <f t="shared" si="2"/>
        <v>458</v>
      </c>
      <c r="R21" s="399">
        <f t="shared" si="2"/>
        <v>36.730000000000004</v>
      </c>
    </row>
    <row r="22" spans="1:18" ht="13.5">
      <c r="A22" s="767"/>
      <c r="B22" s="803"/>
      <c r="C22" s="198" t="s">
        <v>289</v>
      </c>
      <c r="D22" s="391">
        <v>10.8</v>
      </c>
      <c r="E22" s="198">
        <v>144</v>
      </c>
      <c r="F22" s="193">
        <v>12.24</v>
      </c>
      <c r="G22" s="198" t="s">
        <v>290</v>
      </c>
      <c r="H22" s="388">
        <v>16.275</v>
      </c>
      <c r="I22" s="198">
        <v>217</v>
      </c>
      <c r="J22" s="399">
        <v>16.275</v>
      </c>
      <c r="K22" s="193">
        <v>1</v>
      </c>
      <c r="L22" s="415"/>
      <c r="M22" s="193"/>
      <c r="N22" s="193">
        <v>1</v>
      </c>
      <c r="O22" s="193">
        <v>2</v>
      </c>
      <c r="P22" s="399">
        <f t="shared" si="2"/>
        <v>27.075</v>
      </c>
      <c r="Q22" s="193">
        <f t="shared" si="2"/>
        <v>361</v>
      </c>
      <c r="R22" s="399">
        <f t="shared" si="2"/>
        <v>28.515</v>
      </c>
    </row>
    <row r="23" spans="1:18" ht="13.5">
      <c r="A23" s="767"/>
      <c r="B23" s="803"/>
      <c r="C23" s="198" t="s">
        <v>291</v>
      </c>
      <c r="D23" s="388">
        <v>14.025</v>
      </c>
      <c r="E23" s="198">
        <v>187</v>
      </c>
      <c r="F23" s="417">
        <v>15.895</v>
      </c>
      <c r="G23" s="198" t="s">
        <v>292</v>
      </c>
      <c r="H23" s="391">
        <v>15</v>
      </c>
      <c r="I23" s="198">
        <v>200</v>
      </c>
      <c r="J23" s="193">
        <v>15</v>
      </c>
      <c r="K23" s="193">
        <v>1</v>
      </c>
      <c r="L23" s="415"/>
      <c r="M23" s="193"/>
      <c r="N23" s="193">
        <v>1</v>
      </c>
      <c r="O23" s="193">
        <v>2</v>
      </c>
      <c r="P23" s="399">
        <f t="shared" si="2"/>
        <v>29.025</v>
      </c>
      <c r="Q23" s="193">
        <f t="shared" si="2"/>
        <v>387</v>
      </c>
      <c r="R23" s="399">
        <f t="shared" si="2"/>
        <v>30.895</v>
      </c>
    </row>
    <row r="24" spans="1:18" ht="13.5">
      <c r="A24" s="767"/>
      <c r="B24" s="803"/>
      <c r="C24" s="198" t="s">
        <v>293</v>
      </c>
      <c r="D24" s="388">
        <v>13.875</v>
      </c>
      <c r="E24" s="198">
        <v>185</v>
      </c>
      <c r="F24" s="399">
        <v>15.725</v>
      </c>
      <c r="G24" s="198" t="s">
        <v>294</v>
      </c>
      <c r="H24" s="391">
        <v>12.75</v>
      </c>
      <c r="I24" s="198">
        <v>170</v>
      </c>
      <c r="J24" s="193">
        <v>12.75</v>
      </c>
      <c r="K24" s="193">
        <v>1</v>
      </c>
      <c r="L24" s="415"/>
      <c r="M24" s="193"/>
      <c r="N24" s="193">
        <v>1</v>
      </c>
      <c r="O24" s="193">
        <v>2</v>
      </c>
      <c r="P24" s="399">
        <f t="shared" si="2"/>
        <v>26.625</v>
      </c>
      <c r="Q24" s="193">
        <f t="shared" si="2"/>
        <v>355</v>
      </c>
      <c r="R24" s="399">
        <f t="shared" si="2"/>
        <v>28.475</v>
      </c>
    </row>
    <row r="25" spans="1:18" ht="13.5">
      <c r="A25" s="767"/>
      <c r="B25" s="803"/>
      <c r="C25" s="198" t="s">
        <v>295</v>
      </c>
      <c r="D25" s="395">
        <v>14.1</v>
      </c>
      <c r="E25" s="198">
        <v>188</v>
      </c>
      <c r="F25" s="193">
        <v>15.98</v>
      </c>
      <c r="G25" s="418" t="s">
        <v>1464</v>
      </c>
      <c r="H25" s="388">
        <v>11.475</v>
      </c>
      <c r="I25" s="418">
        <v>153</v>
      </c>
      <c r="J25" s="399">
        <v>11.475</v>
      </c>
      <c r="K25" s="193">
        <v>1</v>
      </c>
      <c r="L25" s="415"/>
      <c r="M25" s="193"/>
      <c r="N25" s="193">
        <v>1</v>
      </c>
      <c r="O25" s="193">
        <v>2</v>
      </c>
      <c r="P25" s="399">
        <f t="shared" si="2"/>
        <v>25.575</v>
      </c>
      <c r="Q25" s="193">
        <f t="shared" si="2"/>
        <v>341</v>
      </c>
      <c r="R25" s="399">
        <f t="shared" si="2"/>
        <v>27.455</v>
      </c>
    </row>
    <row r="26" spans="1:18" ht="13.5">
      <c r="A26" s="767"/>
      <c r="B26" s="803"/>
      <c r="C26" s="197" t="s">
        <v>296</v>
      </c>
      <c r="D26" s="391">
        <v>9</v>
      </c>
      <c r="E26" s="197">
        <v>120</v>
      </c>
      <c r="F26" s="193">
        <v>10.2</v>
      </c>
      <c r="G26" s="197" t="s">
        <v>297</v>
      </c>
      <c r="H26" s="391">
        <v>7.5</v>
      </c>
      <c r="I26" s="197">
        <v>100</v>
      </c>
      <c r="J26" s="193">
        <v>7.5</v>
      </c>
      <c r="K26" s="193">
        <v>1</v>
      </c>
      <c r="L26" s="415"/>
      <c r="M26" s="193"/>
      <c r="N26" s="193">
        <v>1</v>
      </c>
      <c r="O26" s="193">
        <v>2</v>
      </c>
      <c r="P26" s="399">
        <f t="shared" si="2"/>
        <v>16.5</v>
      </c>
      <c r="Q26" s="193">
        <f t="shared" si="2"/>
        <v>220</v>
      </c>
      <c r="R26" s="399">
        <f t="shared" si="2"/>
        <v>17.7</v>
      </c>
    </row>
    <row r="27" spans="1:18" ht="13.5">
      <c r="A27" s="767"/>
      <c r="B27" s="803"/>
      <c r="C27" s="197" t="s">
        <v>298</v>
      </c>
      <c r="D27" s="391">
        <v>3.9</v>
      </c>
      <c r="E27" s="197">
        <v>52</v>
      </c>
      <c r="F27" s="193">
        <v>4.42</v>
      </c>
      <c r="G27" s="197" t="s">
        <v>1465</v>
      </c>
      <c r="H27" s="391">
        <v>12</v>
      </c>
      <c r="I27" s="197">
        <v>160</v>
      </c>
      <c r="J27" s="193">
        <v>12</v>
      </c>
      <c r="K27" s="193">
        <v>1</v>
      </c>
      <c r="L27" s="415"/>
      <c r="M27" s="193"/>
      <c r="N27" s="193">
        <v>1</v>
      </c>
      <c r="O27" s="193">
        <v>2</v>
      </c>
      <c r="P27" s="399">
        <f t="shared" si="2"/>
        <v>15.9</v>
      </c>
      <c r="Q27" s="193">
        <f t="shared" si="2"/>
        <v>212</v>
      </c>
      <c r="R27" s="399">
        <f t="shared" si="2"/>
        <v>16.42</v>
      </c>
    </row>
    <row r="28" spans="1:18" ht="13.5">
      <c r="A28" s="767"/>
      <c r="B28" s="803"/>
      <c r="C28" s="197" t="s">
        <v>1470</v>
      </c>
      <c r="D28" s="388">
        <v>13.725</v>
      </c>
      <c r="E28" s="197">
        <v>183</v>
      </c>
      <c r="F28" s="399">
        <v>15.555</v>
      </c>
      <c r="G28" s="198" t="s">
        <v>299</v>
      </c>
      <c r="H28" s="391">
        <v>15.6</v>
      </c>
      <c r="I28" s="198">
        <v>208</v>
      </c>
      <c r="J28" s="193">
        <v>15.6</v>
      </c>
      <c r="K28" s="193">
        <v>1</v>
      </c>
      <c r="L28" s="415"/>
      <c r="M28" s="193"/>
      <c r="N28" s="193">
        <v>1</v>
      </c>
      <c r="O28" s="193">
        <v>2</v>
      </c>
      <c r="P28" s="399">
        <f t="shared" si="2"/>
        <v>29.325</v>
      </c>
      <c r="Q28" s="193">
        <f t="shared" si="2"/>
        <v>391</v>
      </c>
      <c r="R28" s="399">
        <f t="shared" si="2"/>
        <v>31.155</v>
      </c>
    </row>
    <row r="29" spans="1:18" ht="13.5">
      <c r="A29" s="767"/>
      <c r="B29" s="803"/>
      <c r="C29" s="198" t="s">
        <v>300</v>
      </c>
      <c r="D29" s="388">
        <v>17.63</v>
      </c>
      <c r="E29" s="411">
        <v>235</v>
      </c>
      <c r="F29" s="399">
        <v>19.975</v>
      </c>
      <c r="G29" s="198" t="s">
        <v>301</v>
      </c>
      <c r="H29" s="388">
        <v>12.975</v>
      </c>
      <c r="I29" s="198">
        <v>173</v>
      </c>
      <c r="J29" s="399">
        <v>12.975</v>
      </c>
      <c r="K29" s="193">
        <v>1</v>
      </c>
      <c r="L29" s="415"/>
      <c r="M29" s="193"/>
      <c r="N29" s="193">
        <v>1</v>
      </c>
      <c r="O29" s="193">
        <v>2</v>
      </c>
      <c r="P29" s="399">
        <f t="shared" si="2"/>
        <v>30.604999999999997</v>
      </c>
      <c r="Q29" s="193">
        <f t="shared" si="2"/>
        <v>408</v>
      </c>
      <c r="R29" s="399">
        <f t="shared" si="2"/>
        <v>32.95</v>
      </c>
    </row>
    <row r="30" spans="1:18" ht="13.5">
      <c r="A30" s="767"/>
      <c r="B30" s="803"/>
      <c r="C30" s="198" t="s">
        <v>302</v>
      </c>
      <c r="D30" s="391">
        <v>16.73</v>
      </c>
      <c r="E30" s="411">
        <v>223</v>
      </c>
      <c r="F30" s="399">
        <v>18.955</v>
      </c>
      <c r="G30" s="198" t="s">
        <v>1466</v>
      </c>
      <c r="H30" s="388">
        <v>19.875</v>
      </c>
      <c r="I30" s="198">
        <v>265</v>
      </c>
      <c r="J30" s="399">
        <v>19.875</v>
      </c>
      <c r="K30" s="193">
        <v>1</v>
      </c>
      <c r="L30" s="415"/>
      <c r="M30" s="193"/>
      <c r="N30" s="193">
        <v>1</v>
      </c>
      <c r="O30" s="193">
        <v>2</v>
      </c>
      <c r="P30" s="399">
        <f t="shared" si="2"/>
        <v>36.605000000000004</v>
      </c>
      <c r="Q30" s="193">
        <f t="shared" si="2"/>
        <v>488</v>
      </c>
      <c r="R30" s="399">
        <f t="shared" si="2"/>
        <v>38.83</v>
      </c>
    </row>
    <row r="31" spans="1:18" ht="13.5">
      <c r="A31" s="767"/>
      <c r="B31" s="803"/>
      <c r="C31" s="197" t="s">
        <v>1471</v>
      </c>
      <c r="D31" s="388">
        <v>13.575</v>
      </c>
      <c r="E31" s="197">
        <v>181</v>
      </c>
      <c r="F31" s="399">
        <v>15.385</v>
      </c>
      <c r="G31" s="198" t="s">
        <v>1467</v>
      </c>
      <c r="H31" s="391">
        <v>7.2</v>
      </c>
      <c r="I31" s="198">
        <v>96</v>
      </c>
      <c r="J31" s="193">
        <v>7.2</v>
      </c>
      <c r="K31" s="193">
        <v>1</v>
      </c>
      <c r="L31" s="415"/>
      <c r="M31" s="193"/>
      <c r="N31" s="193">
        <v>1</v>
      </c>
      <c r="O31" s="193">
        <v>2</v>
      </c>
      <c r="P31" s="399">
        <f t="shared" si="2"/>
        <v>20.775</v>
      </c>
      <c r="Q31" s="193">
        <f t="shared" si="2"/>
        <v>277</v>
      </c>
      <c r="R31" s="399">
        <f t="shared" si="2"/>
        <v>22.585</v>
      </c>
    </row>
    <row r="32" spans="1:18" ht="13.5">
      <c r="A32" s="767"/>
      <c r="B32" s="803"/>
      <c r="C32" s="197" t="s">
        <v>1472</v>
      </c>
      <c r="D32" s="388">
        <v>13.725</v>
      </c>
      <c r="E32" s="197">
        <v>183</v>
      </c>
      <c r="F32" s="399">
        <v>15.555</v>
      </c>
      <c r="G32" s="197" t="s">
        <v>303</v>
      </c>
      <c r="H32" s="391">
        <v>18</v>
      </c>
      <c r="I32" s="197">
        <v>240</v>
      </c>
      <c r="J32" s="193">
        <v>18</v>
      </c>
      <c r="K32" s="193"/>
      <c r="L32" s="415"/>
      <c r="M32" s="193"/>
      <c r="N32" s="193">
        <v>1</v>
      </c>
      <c r="O32" s="193">
        <v>2</v>
      </c>
      <c r="P32" s="399">
        <f t="shared" si="2"/>
        <v>31.725</v>
      </c>
      <c r="Q32" s="193">
        <f t="shared" si="2"/>
        <v>423</v>
      </c>
      <c r="R32" s="399">
        <f t="shared" si="2"/>
        <v>33.555</v>
      </c>
    </row>
    <row r="33" spans="1:18" ht="13.5">
      <c r="A33" s="767"/>
      <c r="B33" s="803"/>
      <c r="C33" s="197" t="s">
        <v>1473</v>
      </c>
      <c r="D33" s="391">
        <v>19.05</v>
      </c>
      <c r="E33" s="197">
        <v>254</v>
      </c>
      <c r="F33" s="193">
        <v>21.59</v>
      </c>
      <c r="G33" s="193"/>
      <c r="H33" s="193"/>
      <c r="I33" s="193"/>
      <c r="J33" s="193"/>
      <c r="K33" s="193"/>
      <c r="L33" s="415"/>
      <c r="M33" s="193"/>
      <c r="N33" s="193"/>
      <c r="O33" s="193">
        <v>1</v>
      </c>
      <c r="P33" s="399">
        <f t="shared" si="2"/>
        <v>19.05</v>
      </c>
      <c r="Q33" s="193">
        <f t="shared" si="2"/>
        <v>254</v>
      </c>
      <c r="R33" s="399">
        <f t="shared" si="2"/>
        <v>21.59</v>
      </c>
    </row>
    <row r="34" spans="1:18" ht="13.5">
      <c r="A34" s="767"/>
      <c r="B34" s="803"/>
      <c r="C34" s="197" t="s">
        <v>1474</v>
      </c>
      <c r="D34" s="388">
        <v>19.275</v>
      </c>
      <c r="E34" s="197">
        <v>257</v>
      </c>
      <c r="F34" s="399">
        <v>21.845</v>
      </c>
      <c r="G34" s="193"/>
      <c r="H34" s="193"/>
      <c r="I34" s="193"/>
      <c r="J34" s="193"/>
      <c r="K34" s="193"/>
      <c r="L34" s="415"/>
      <c r="M34" s="193"/>
      <c r="N34" s="193"/>
      <c r="O34" s="193">
        <v>1</v>
      </c>
      <c r="P34" s="399">
        <f t="shared" si="2"/>
        <v>19.275</v>
      </c>
      <c r="Q34" s="193">
        <f t="shared" si="2"/>
        <v>257</v>
      </c>
      <c r="R34" s="399">
        <f t="shared" si="2"/>
        <v>21.845</v>
      </c>
    </row>
    <row r="35" spans="1:18" ht="13.5">
      <c r="A35" s="767"/>
      <c r="B35" s="803"/>
      <c r="C35" s="197" t="s">
        <v>1475</v>
      </c>
      <c r="D35" s="391">
        <v>19.65</v>
      </c>
      <c r="E35" s="197">
        <v>262</v>
      </c>
      <c r="F35" s="193">
        <v>22.27</v>
      </c>
      <c r="G35" s="193"/>
      <c r="H35" s="193"/>
      <c r="I35" s="193"/>
      <c r="J35" s="193"/>
      <c r="K35" s="193"/>
      <c r="L35" s="415"/>
      <c r="M35" s="193"/>
      <c r="N35" s="193"/>
      <c r="O35" s="193">
        <v>1</v>
      </c>
      <c r="P35" s="399">
        <f t="shared" si="2"/>
        <v>19.65</v>
      </c>
      <c r="Q35" s="193">
        <f t="shared" si="2"/>
        <v>262</v>
      </c>
      <c r="R35" s="399">
        <f t="shared" si="2"/>
        <v>22.27</v>
      </c>
    </row>
    <row r="36" spans="1:18" ht="13.5">
      <c r="A36" s="767"/>
      <c r="B36" s="803"/>
      <c r="C36" s="197" t="s">
        <v>1476</v>
      </c>
      <c r="D36" s="391">
        <v>13.35</v>
      </c>
      <c r="E36" s="197">
        <v>178</v>
      </c>
      <c r="F36" s="193">
        <v>15.13</v>
      </c>
      <c r="G36" s="193"/>
      <c r="H36" s="193"/>
      <c r="I36" s="193"/>
      <c r="J36" s="193"/>
      <c r="K36" s="193"/>
      <c r="L36" s="415"/>
      <c r="M36" s="193"/>
      <c r="N36" s="193"/>
      <c r="O36" s="193">
        <v>1</v>
      </c>
      <c r="P36" s="399">
        <f t="shared" si="2"/>
        <v>13.35</v>
      </c>
      <c r="Q36" s="193">
        <f t="shared" si="2"/>
        <v>178</v>
      </c>
      <c r="R36" s="399">
        <f t="shared" si="2"/>
        <v>15.13</v>
      </c>
    </row>
    <row r="37" spans="1:18" ht="13.5">
      <c r="A37" s="767"/>
      <c r="B37" s="803"/>
      <c r="C37" s="197" t="s">
        <v>1477</v>
      </c>
      <c r="D37" s="391">
        <v>15.15</v>
      </c>
      <c r="E37" s="197">
        <v>202</v>
      </c>
      <c r="F37" s="193">
        <v>17.17</v>
      </c>
      <c r="G37" s="193"/>
      <c r="H37" s="193"/>
      <c r="I37" s="193"/>
      <c r="J37" s="193"/>
      <c r="K37" s="193"/>
      <c r="L37" s="415"/>
      <c r="M37" s="193"/>
      <c r="N37" s="193"/>
      <c r="O37" s="193">
        <v>1</v>
      </c>
      <c r="P37" s="399">
        <f t="shared" si="2"/>
        <v>15.15</v>
      </c>
      <c r="Q37" s="193">
        <f t="shared" si="2"/>
        <v>202</v>
      </c>
      <c r="R37" s="399">
        <f t="shared" si="2"/>
        <v>17.17</v>
      </c>
    </row>
    <row r="38" spans="1:18" ht="13.5">
      <c r="A38" s="767"/>
      <c r="B38" s="803"/>
      <c r="C38" s="197" t="s">
        <v>1478</v>
      </c>
      <c r="D38" s="391">
        <v>13.8</v>
      </c>
      <c r="E38" s="197">
        <v>184</v>
      </c>
      <c r="F38" s="193">
        <v>15.64</v>
      </c>
      <c r="G38" s="193"/>
      <c r="H38" s="193"/>
      <c r="I38" s="193"/>
      <c r="J38" s="193"/>
      <c r="K38" s="193"/>
      <c r="L38" s="415"/>
      <c r="M38" s="193"/>
      <c r="N38" s="193"/>
      <c r="O38" s="193">
        <v>1</v>
      </c>
      <c r="P38" s="399">
        <f t="shared" si="2"/>
        <v>13.8</v>
      </c>
      <c r="Q38" s="193">
        <f t="shared" si="2"/>
        <v>184</v>
      </c>
      <c r="R38" s="399">
        <f t="shared" si="2"/>
        <v>15.64</v>
      </c>
    </row>
    <row r="39" spans="1:18" ht="13.5">
      <c r="A39" s="767"/>
      <c r="B39" s="803"/>
      <c r="C39" s="197" t="s">
        <v>1479</v>
      </c>
      <c r="D39" s="388">
        <v>8.925</v>
      </c>
      <c r="E39" s="197">
        <v>119</v>
      </c>
      <c r="F39" s="399">
        <v>10.115</v>
      </c>
      <c r="G39" s="193"/>
      <c r="H39" s="193"/>
      <c r="I39" s="193"/>
      <c r="J39" s="193"/>
      <c r="K39" s="193"/>
      <c r="L39" s="415"/>
      <c r="M39" s="193"/>
      <c r="N39" s="193"/>
      <c r="O39" s="193">
        <v>1</v>
      </c>
      <c r="P39" s="399">
        <f t="shared" si="2"/>
        <v>8.925</v>
      </c>
      <c r="Q39" s="193">
        <f t="shared" si="2"/>
        <v>119</v>
      </c>
      <c r="R39" s="399">
        <f t="shared" si="2"/>
        <v>10.115</v>
      </c>
    </row>
    <row r="40" spans="1:18" ht="13.5">
      <c r="A40" s="767"/>
      <c r="B40" s="803"/>
      <c r="C40" s="197" t="s">
        <v>1480</v>
      </c>
      <c r="D40" s="391">
        <v>8.4</v>
      </c>
      <c r="E40" s="197">
        <v>112</v>
      </c>
      <c r="F40" s="193">
        <v>9.52</v>
      </c>
      <c r="G40" s="193"/>
      <c r="H40" s="193"/>
      <c r="I40" s="193"/>
      <c r="J40" s="193"/>
      <c r="K40" s="193"/>
      <c r="L40" s="415"/>
      <c r="M40" s="193"/>
      <c r="N40" s="193"/>
      <c r="O40" s="193">
        <v>1</v>
      </c>
      <c r="P40" s="399">
        <f t="shared" si="2"/>
        <v>8.4</v>
      </c>
      <c r="Q40" s="193">
        <f t="shared" si="2"/>
        <v>112</v>
      </c>
      <c r="R40" s="399">
        <f t="shared" si="2"/>
        <v>9.52</v>
      </c>
    </row>
    <row r="41" spans="1:18" ht="13.5">
      <c r="A41" s="767"/>
      <c r="B41" s="803"/>
      <c r="C41" s="197" t="s">
        <v>1481</v>
      </c>
      <c r="D41" s="391">
        <v>7.8</v>
      </c>
      <c r="E41" s="197">
        <v>104</v>
      </c>
      <c r="F41" s="193">
        <v>8.84</v>
      </c>
      <c r="G41" s="193"/>
      <c r="H41" s="193"/>
      <c r="I41" s="193"/>
      <c r="J41" s="193"/>
      <c r="K41" s="193"/>
      <c r="L41" s="415"/>
      <c r="M41" s="193"/>
      <c r="N41" s="193"/>
      <c r="O41" s="193">
        <v>1</v>
      </c>
      <c r="P41" s="399">
        <f t="shared" si="2"/>
        <v>7.8</v>
      </c>
      <c r="Q41" s="193">
        <f t="shared" si="2"/>
        <v>104</v>
      </c>
      <c r="R41" s="399">
        <f t="shared" si="2"/>
        <v>8.84</v>
      </c>
    </row>
    <row r="42" spans="1:18" ht="13.5">
      <c r="A42" s="767"/>
      <c r="B42" s="803"/>
      <c r="C42" s="197" t="s">
        <v>1482</v>
      </c>
      <c r="D42" s="388">
        <v>9.525</v>
      </c>
      <c r="E42" s="197">
        <v>127</v>
      </c>
      <c r="F42" s="417">
        <v>10.795</v>
      </c>
      <c r="G42" s="193"/>
      <c r="H42" s="193"/>
      <c r="I42" s="193"/>
      <c r="J42" s="193"/>
      <c r="K42" s="193"/>
      <c r="L42" s="415"/>
      <c r="M42" s="193"/>
      <c r="N42" s="193"/>
      <c r="O42" s="193">
        <v>1</v>
      </c>
      <c r="P42" s="399">
        <f t="shared" si="2"/>
        <v>9.525</v>
      </c>
      <c r="Q42" s="193">
        <f t="shared" si="2"/>
        <v>127</v>
      </c>
      <c r="R42" s="399">
        <f t="shared" si="2"/>
        <v>10.795</v>
      </c>
    </row>
    <row r="43" spans="1:18" ht="13.5">
      <c r="A43" s="767"/>
      <c r="B43" s="803"/>
      <c r="C43" s="197" t="s">
        <v>1483</v>
      </c>
      <c r="D43" s="388">
        <v>18.375</v>
      </c>
      <c r="E43" s="197">
        <v>245</v>
      </c>
      <c r="F43" s="399">
        <v>20.825</v>
      </c>
      <c r="G43" s="193"/>
      <c r="H43" s="193"/>
      <c r="I43" s="193"/>
      <c r="J43" s="193"/>
      <c r="K43" s="193"/>
      <c r="L43" s="415"/>
      <c r="M43" s="193"/>
      <c r="N43" s="193"/>
      <c r="O43" s="193">
        <v>1</v>
      </c>
      <c r="P43" s="399">
        <f t="shared" si="2"/>
        <v>18.375</v>
      </c>
      <c r="Q43" s="193">
        <f t="shared" si="2"/>
        <v>245</v>
      </c>
      <c r="R43" s="399">
        <f t="shared" si="2"/>
        <v>20.825</v>
      </c>
    </row>
    <row r="44" spans="1:18" ht="13.5">
      <c r="A44" s="767"/>
      <c r="B44" s="803"/>
      <c r="C44" s="197" t="s">
        <v>1484</v>
      </c>
      <c r="D44" s="391">
        <v>15.3</v>
      </c>
      <c r="E44" s="197">
        <v>204</v>
      </c>
      <c r="F44" s="193">
        <v>17.34</v>
      </c>
      <c r="G44" s="193"/>
      <c r="H44" s="193"/>
      <c r="I44" s="193"/>
      <c r="J44" s="193"/>
      <c r="K44" s="193"/>
      <c r="L44" s="415"/>
      <c r="M44" s="193"/>
      <c r="N44" s="193"/>
      <c r="O44" s="193">
        <v>1</v>
      </c>
      <c r="P44" s="399">
        <f t="shared" si="2"/>
        <v>15.3</v>
      </c>
      <c r="Q44" s="193">
        <f t="shared" si="2"/>
        <v>204</v>
      </c>
      <c r="R44" s="399">
        <f t="shared" si="2"/>
        <v>17.34</v>
      </c>
    </row>
    <row r="45" spans="1:18" ht="13.5">
      <c r="A45" s="767"/>
      <c r="B45" s="803"/>
      <c r="C45" s="197" t="s">
        <v>1487</v>
      </c>
      <c r="D45" s="391">
        <v>4.5</v>
      </c>
      <c r="E45" s="197">
        <v>60</v>
      </c>
      <c r="F45" s="193">
        <v>5.1</v>
      </c>
      <c r="G45" s="193"/>
      <c r="H45" s="193"/>
      <c r="I45" s="193"/>
      <c r="J45" s="193"/>
      <c r="K45" s="193"/>
      <c r="L45" s="415"/>
      <c r="M45" s="193"/>
      <c r="N45" s="193"/>
      <c r="O45" s="193">
        <v>1</v>
      </c>
      <c r="P45" s="399">
        <f t="shared" si="2"/>
        <v>4.5</v>
      </c>
      <c r="Q45" s="193">
        <f t="shared" si="2"/>
        <v>60</v>
      </c>
      <c r="R45" s="399">
        <f t="shared" si="2"/>
        <v>5.1</v>
      </c>
    </row>
    <row r="46" spans="1:18" ht="13.5">
      <c r="A46" s="767"/>
      <c r="B46" s="803"/>
      <c r="C46" s="197" t="s">
        <v>1307</v>
      </c>
      <c r="D46" s="391">
        <v>6.3</v>
      </c>
      <c r="E46" s="197">
        <v>84</v>
      </c>
      <c r="F46" s="193">
        <v>7.14</v>
      </c>
      <c r="G46" s="193"/>
      <c r="H46" s="193"/>
      <c r="I46" s="193"/>
      <c r="J46" s="193"/>
      <c r="K46" s="193"/>
      <c r="L46" s="415"/>
      <c r="M46" s="193"/>
      <c r="N46" s="193"/>
      <c r="O46" s="193">
        <v>1</v>
      </c>
      <c r="P46" s="399">
        <f t="shared" si="2"/>
        <v>6.3</v>
      </c>
      <c r="Q46" s="193">
        <f t="shared" si="2"/>
        <v>84</v>
      </c>
      <c r="R46" s="399">
        <f t="shared" si="2"/>
        <v>7.14</v>
      </c>
    </row>
    <row r="47" spans="1:18" ht="13.5">
      <c r="A47" s="767"/>
      <c r="B47" s="803"/>
      <c r="C47" s="198" t="s">
        <v>1485</v>
      </c>
      <c r="D47" s="388">
        <v>7.575</v>
      </c>
      <c r="E47" s="198">
        <v>101</v>
      </c>
      <c r="F47" s="399">
        <v>8.585</v>
      </c>
      <c r="G47" s="193"/>
      <c r="H47" s="193"/>
      <c r="I47" s="193"/>
      <c r="J47" s="193"/>
      <c r="K47" s="193"/>
      <c r="L47" s="415"/>
      <c r="M47" s="193"/>
      <c r="N47" s="193"/>
      <c r="O47" s="193">
        <v>1</v>
      </c>
      <c r="P47" s="399">
        <f t="shared" si="2"/>
        <v>7.575</v>
      </c>
      <c r="Q47" s="193">
        <f t="shared" si="2"/>
        <v>101</v>
      </c>
      <c r="R47" s="399">
        <f t="shared" si="2"/>
        <v>8.585</v>
      </c>
    </row>
    <row r="48" spans="1:18" ht="13.5">
      <c r="A48" s="767"/>
      <c r="B48" s="803"/>
      <c r="C48" s="198" t="s">
        <v>1486</v>
      </c>
      <c r="D48" s="388">
        <v>5.925</v>
      </c>
      <c r="E48" s="198">
        <v>79</v>
      </c>
      <c r="F48" s="399">
        <v>6.715</v>
      </c>
      <c r="G48" s="193"/>
      <c r="H48" s="193"/>
      <c r="I48" s="193"/>
      <c r="J48" s="193"/>
      <c r="K48" s="193"/>
      <c r="L48" s="415"/>
      <c r="M48" s="193"/>
      <c r="N48" s="193"/>
      <c r="O48" s="193">
        <v>1</v>
      </c>
      <c r="P48" s="399">
        <f t="shared" si="2"/>
        <v>5.925</v>
      </c>
      <c r="Q48" s="193">
        <f t="shared" si="2"/>
        <v>79</v>
      </c>
      <c r="R48" s="399">
        <f t="shared" si="2"/>
        <v>6.715</v>
      </c>
    </row>
    <row r="49" spans="1:18" ht="13.5">
      <c r="A49" s="767"/>
      <c r="B49" s="803"/>
      <c r="C49" s="198" t="s">
        <v>1488</v>
      </c>
      <c r="D49" s="391">
        <v>12.9</v>
      </c>
      <c r="E49" s="198">
        <v>172</v>
      </c>
      <c r="F49" s="193">
        <v>14.62</v>
      </c>
      <c r="G49" s="193"/>
      <c r="H49" s="193"/>
      <c r="I49" s="193"/>
      <c r="J49" s="193"/>
      <c r="K49" s="193"/>
      <c r="L49" s="415"/>
      <c r="M49" s="193"/>
      <c r="N49" s="193"/>
      <c r="O49" s="193">
        <v>1</v>
      </c>
      <c r="P49" s="399">
        <f t="shared" si="2"/>
        <v>12.9</v>
      </c>
      <c r="Q49" s="193">
        <f t="shared" si="2"/>
        <v>172</v>
      </c>
      <c r="R49" s="399">
        <f t="shared" si="2"/>
        <v>14.62</v>
      </c>
    </row>
    <row r="50" spans="1:18" ht="13.5">
      <c r="A50" s="767"/>
      <c r="B50" s="803"/>
      <c r="C50" s="198" t="s">
        <v>1489</v>
      </c>
      <c r="D50" s="192">
        <v>10.2</v>
      </c>
      <c r="E50" s="198">
        <v>136</v>
      </c>
      <c r="F50" s="193">
        <v>11.56</v>
      </c>
      <c r="G50" s="193"/>
      <c r="H50" s="193"/>
      <c r="I50" s="193"/>
      <c r="J50" s="193"/>
      <c r="K50" s="193"/>
      <c r="L50" s="415"/>
      <c r="M50" s="193"/>
      <c r="N50" s="193"/>
      <c r="O50" s="193">
        <v>1</v>
      </c>
      <c r="P50" s="399">
        <f t="shared" si="2"/>
        <v>10.2</v>
      </c>
      <c r="Q50" s="193">
        <f t="shared" si="2"/>
        <v>136</v>
      </c>
      <c r="R50" s="399">
        <f t="shared" si="2"/>
        <v>11.56</v>
      </c>
    </row>
    <row r="51" spans="1:18" ht="13.5">
      <c r="A51" s="767"/>
      <c r="B51" s="803"/>
      <c r="C51" s="198" t="s">
        <v>304</v>
      </c>
      <c r="D51" s="388">
        <v>16.275</v>
      </c>
      <c r="E51" s="198">
        <v>217</v>
      </c>
      <c r="F51" s="399">
        <v>18.445</v>
      </c>
      <c r="G51" s="193"/>
      <c r="H51" s="193"/>
      <c r="I51" s="193"/>
      <c r="J51" s="193"/>
      <c r="K51" s="193"/>
      <c r="L51" s="415"/>
      <c r="M51" s="193"/>
      <c r="N51" s="193"/>
      <c r="O51" s="193">
        <v>1</v>
      </c>
      <c r="P51" s="399">
        <f t="shared" si="2"/>
        <v>16.275</v>
      </c>
      <c r="Q51" s="193">
        <f t="shared" si="2"/>
        <v>217</v>
      </c>
      <c r="R51" s="399">
        <f t="shared" si="2"/>
        <v>18.445</v>
      </c>
    </row>
    <row r="52" spans="1:18" ht="13.5">
      <c r="A52" s="767"/>
      <c r="B52" s="803"/>
      <c r="C52" s="198" t="s">
        <v>305</v>
      </c>
      <c r="D52" s="388">
        <v>14.775</v>
      </c>
      <c r="E52" s="198">
        <v>197</v>
      </c>
      <c r="F52" s="399">
        <v>16.745</v>
      </c>
      <c r="G52" s="193"/>
      <c r="H52" s="193"/>
      <c r="I52" s="193"/>
      <c r="J52" s="193"/>
      <c r="K52" s="193"/>
      <c r="L52" s="415"/>
      <c r="M52" s="193"/>
      <c r="N52" s="193"/>
      <c r="O52" s="193">
        <v>1</v>
      </c>
      <c r="P52" s="399">
        <f t="shared" si="2"/>
        <v>14.775</v>
      </c>
      <c r="Q52" s="193">
        <f t="shared" si="2"/>
        <v>197</v>
      </c>
      <c r="R52" s="399">
        <f t="shared" si="2"/>
        <v>16.745</v>
      </c>
    </row>
    <row r="53" spans="1:18" ht="13.5">
      <c r="A53" s="767"/>
      <c r="B53" s="803"/>
      <c r="C53" s="198" t="s">
        <v>306</v>
      </c>
      <c r="D53" s="388">
        <v>15.375</v>
      </c>
      <c r="E53" s="198">
        <v>205</v>
      </c>
      <c r="F53" s="399">
        <v>17.425</v>
      </c>
      <c r="G53" s="193"/>
      <c r="H53" s="193"/>
      <c r="I53" s="193"/>
      <c r="J53" s="193"/>
      <c r="K53" s="193"/>
      <c r="L53" s="415"/>
      <c r="M53" s="193"/>
      <c r="N53" s="193"/>
      <c r="O53" s="193">
        <v>1</v>
      </c>
      <c r="P53" s="399">
        <f t="shared" si="2"/>
        <v>15.375</v>
      </c>
      <c r="Q53" s="193">
        <f t="shared" si="2"/>
        <v>205</v>
      </c>
      <c r="R53" s="399">
        <f t="shared" si="2"/>
        <v>17.425</v>
      </c>
    </row>
    <row r="54" spans="1:18" ht="13.5">
      <c r="A54" s="767"/>
      <c r="B54" s="803"/>
      <c r="C54" s="198" t="s">
        <v>307</v>
      </c>
      <c r="D54" s="391">
        <v>15.15</v>
      </c>
      <c r="E54" s="198">
        <v>202</v>
      </c>
      <c r="F54" s="193">
        <v>17.17</v>
      </c>
      <c r="G54" s="193"/>
      <c r="H54" s="193"/>
      <c r="I54" s="193"/>
      <c r="J54" s="193"/>
      <c r="K54" s="193"/>
      <c r="L54" s="415"/>
      <c r="M54" s="193"/>
      <c r="N54" s="193"/>
      <c r="O54" s="193">
        <v>1</v>
      </c>
      <c r="P54" s="399">
        <f t="shared" si="2"/>
        <v>15.15</v>
      </c>
      <c r="Q54" s="193">
        <f t="shared" si="2"/>
        <v>202</v>
      </c>
      <c r="R54" s="399">
        <f t="shared" si="2"/>
        <v>17.17</v>
      </c>
    </row>
    <row r="55" spans="1:18" ht="13.5">
      <c r="A55" s="767"/>
      <c r="B55" s="803"/>
      <c r="C55" s="198" t="s">
        <v>308</v>
      </c>
      <c r="D55" s="391">
        <v>13.65</v>
      </c>
      <c r="E55" s="198">
        <v>182</v>
      </c>
      <c r="F55" s="193">
        <v>15.47</v>
      </c>
      <c r="G55" s="193"/>
      <c r="H55" s="193"/>
      <c r="I55" s="193"/>
      <c r="J55" s="193"/>
      <c r="K55" s="193"/>
      <c r="L55" s="415"/>
      <c r="M55" s="193"/>
      <c r="N55" s="193"/>
      <c r="O55" s="193">
        <v>1</v>
      </c>
      <c r="P55" s="399">
        <f t="shared" si="2"/>
        <v>13.65</v>
      </c>
      <c r="Q55" s="193">
        <f t="shared" si="2"/>
        <v>182</v>
      </c>
      <c r="R55" s="399">
        <f t="shared" si="2"/>
        <v>15.47</v>
      </c>
    </row>
    <row r="56" spans="1:18" ht="13.5">
      <c r="A56" s="767"/>
      <c r="B56" s="803"/>
      <c r="C56" s="198" t="s">
        <v>309</v>
      </c>
      <c r="D56" s="388">
        <v>9.675</v>
      </c>
      <c r="E56" s="198">
        <v>129</v>
      </c>
      <c r="F56" s="399">
        <v>10.965</v>
      </c>
      <c r="G56" s="193"/>
      <c r="H56" s="193"/>
      <c r="I56" s="193"/>
      <c r="J56" s="193"/>
      <c r="K56" s="193"/>
      <c r="L56" s="415"/>
      <c r="M56" s="193"/>
      <c r="N56" s="193"/>
      <c r="O56" s="193">
        <v>1</v>
      </c>
      <c r="P56" s="399">
        <f t="shared" si="2"/>
        <v>9.675</v>
      </c>
      <c r="Q56" s="193">
        <f t="shared" si="2"/>
        <v>129</v>
      </c>
      <c r="R56" s="399">
        <f t="shared" si="2"/>
        <v>10.965</v>
      </c>
    </row>
    <row r="57" spans="1:18" ht="13.5">
      <c r="A57" s="767"/>
      <c r="B57" s="803"/>
      <c r="C57" s="198" t="s">
        <v>310</v>
      </c>
      <c r="D57" s="391">
        <v>13.8</v>
      </c>
      <c r="E57" s="198">
        <v>184</v>
      </c>
      <c r="F57" s="193">
        <v>15.64</v>
      </c>
      <c r="G57" s="193"/>
      <c r="H57" s="193"/>
      <c r="I57" s="193"/>
      <c r="J57" s="193"/>
      <c r="K57" s="193"/>
      <c r="L57" s="415"/>
      <c r="M57" s="193"/>
      <c r="N57" s="193"/>
      <c r="O57" s="193">
        <v>1</v>
      </c>
      <c r="P57" s="399">
        <f t="shared" si="2"/>
        <v>13.8</v>
      </c>
      <c r="Q57" s="193">
        <f t="shared" si="2"/>
        <v>184</v>
      </c>
      <c r="R57" s="399">
        <f t="shared" si="2"/>
        <v>15.64</v>
      </c>
    </row>
    <row r="58" spans="1:18" ht="13.5">
      <c r="A58" s="804" t="s">
        <v>311</v>
      </c>
      <c r="B58" s="805"/>
      <c r="C58" s="376">
        <v>48</v>
      </c>
      <c r="D58" s="413">
        <f>SUM(D59:D106)</f>
        <v>531.6</v>
      </c>
      <c r="E58" s="404">
        <f aca="true" t="shared" si="3" ref="E58:R58">SUM(E59:E106)</f>
        <v>5376</v>
      </c>
      <c r="F58" s="413">
        <f t="shared" si="3"/>
        <v>268.81</v>
      </c>
      <c r="G58" s="376">
        <v>16</v>
      </c>
      <c r="H58" s="413">
        <f t="shared" si="3"/>
        <v>171.95</v>
      </c>
      <c r="I58" s="404">
        <f t="shared" si="3"/>
        <v>1715</v>
      </c>
      <c r="J58" s="413">
        <f t="shared" si="3"/>
        <v>85.77</v>
      </c>
      <c r="K58" s="404">
        <f t="shared" si="3"/>
        <v>16</v>
      </c>
      <c r="L58" s="413"/>
      <c r="M58" s="413"/>
      <c r="N58" s="404">
        <f t="shared" si="3"/>
        <v>16</v>
      </c>
      <c r="O58" s="404">
        <f t="shared" si="3"/>
        <v>64</v>
      </c>
      <c r="P58" s="413">
        <f t="shared" si="3"/>
        <v>703.5499999999998</v>
      </c>
      <c r="Q58" s="404">
        <f t="shared" si="3"/>
        <v>7091</v>
      </c>
      <c r="R58" s="413">
        <f t="shared" si="3"/>
        <v>354.58000000000004</v>
      </c>
    </row>
    <row r="59" spans="1:18" ht="13.5">
      <c r="A59" s="765" t="s">
        <v>2109</v>
      </c>
      <c r="B59" s="802" t="s">
        <v>2087</v>
      </c>
      <c r="C59" s="193" t="s">
        <v>312</v>
      </c>
      <c r="D59" s="388">
        <v>18.5</v>
      </c>
      <c r="E59" s="193">
        <v>233</v>
      </c>
      <c r="F59" s="193">
        <v>11.65</v>
      </c>
      <c r="G59" s="192" t="s">
        <v>313</v>
      </c>
      <c r="H59" s="388">
        <v>8.4</v>
      </c>
      <c r="I59" s="192">
        <v>69</v>
      </c>
      <c r="J59" s="399">
        <v>3.45</v>
      </c>
      <c r="K59" s="193">
        <v>1</v>
      </c>
      <c r="L59" s="415"/>
      <c r="M59" s="193"/>
      <c r="N59" s="193">
        <v>1</v>
      </c>
      <c r="O59" s="193">
        <v>2</v>
      </c>
      <c r="P59" s="399">
        <f aca="true" t="shared" si="4" ref="P59:R74">D59+H59</f>
        <v>26.9</v>
      </c>
      <c r="Q59" s="193">
        <f t="shared" si="4"/>
        <v>302</v>
      </c>
      <c r="R59" s="399">
        <f t="shared" si="4"/>
        <v>15.100000000000001</v>
      </c>
    </row>
    <row r="60" spans="1:18" ht="13.5">
      <c r="A60" s="767"/>
      <c r="B60" s="803"/>
      <c r="C60" s="193" t="s">
        <v>314</v>
      </c>
      <c r="D60" s="395">
        <v>5</v>
      </c>
      <c r="E60" s="193">
        <f>11</f>
        <v>11</v>
      </c>
      <c r="F60" s="193">
        <v>0.55</v>
      </c>
      <c r="G60" s="192" t="s">
        <v>315</v>
      </c>
      <c r="H60" s="388">
        <v>8.2</v>
      </c>
      <c r="I60" s="192">
        <v>64</v>
      </c>
      <c r="J60" s="193">
        <v>3.2</v>
      </c>
      <c r="K60" s="193">
        <v>1</v>
      </c>
      <c r="L60" s="415"/>
      <c r="M60" s="193"/>
      <c r="N60" s="193">
        <v>1</v>
      </c>
      <c r="O60" s="193">
        <v>2</v>
      </c>
      <c r="P60" s="399">
        <f t="shared" si="4"/>
        <v>13.2</v>
      </c>
      <c r="Q60" s="193">
        <f t="shared" si="4"/>
        <v>75</v>
      </c>
      <c r="R60" s="193">
        <f t="shared" si="4"/>
        <v>3.75</v>
      </c>
    </row>
    <row r="61" spans="1:18" ht="13.5">
      <c r="A61" s="767"/>
      <c r="B61" s="803"/>
      <c r="C61" s="192" t="s">
        <v>316</v>
      </c>
      <c r="D61" s="395">
        <v>10</v>
      </c>
      <c r="E61" s="192">
        <f>105+0</f>
        <v>105</v>
      </c>
      <c r="F61" s="193">
        <v>5.25</v>
      </c>
      <c r="G61" s="192" t="s">
        <v>317</v>
      </c>
      <c r="H61" s="388">
        <v>15.2</v>
      </c>
      <c r="I61" s="192">
        <v>163</v>
      </c>
      <c r="J61" s="193">
        <v>8.15</v>
      </c>
      <c r="K61" s="193">
        <v>1</v>
      </c>
      <c r="L61" s="415"/>
      <c r="M61" s="193"/>
      <c r="N61" s="193">
        <v>1</v>
      </c>
      <c r="O61" s="193">
        <v>2</v>
      </c>
      <c r="P61" s="417">
        <f t="shared" si="4"/>
        <v>25.2</v>
      </c>
      <c r="Q61" s="193">
        <f t="shared" si="4"/>
        <v>268</v>
      </c>
      <c r="R61" s="193">
        <f t="shared" si="4"/>
        <v>13.4</v>
      </c>
    </row>
    <row r="62" spans="1:18" ht="13.5">
      <c r="A62" s="767"/>
      <c r="B62" s="803"/>
      <c r="C62" s="193" t="s">
        <v>318</v>
      </c>
      <c r="D62" s="388">
        <v>10.5</v>
      </c>
      <c r="E62" s="192">
        <f>97+0</f>
        <v>97</v>
      </c>
      <c r="F62" s="399">
        <v>4.85</v>
      </c>
      <c r="G62" s="192" t="s">
        <v>319</v>
      </c>
      <c r="H62" s="388">
        <v>12.8</v>
      </c>
      <c r="I62" s="192">
        <v>131</v>
      </c>
      <c r="J62" s="417">
        <v>6.55</v>
      </c>
      <c r="K62" s="193">
        <v>1</v>
      </c>
      <c r="L62" s="415"/>
      <c r="M62" s="193"/>
      <c r="N62" s="193">
        <v>1</v>
      </c>
      <c r="O62" s="193">
        <v>2</v>
      </c>
      <c r="P62" s="417">
        <f t="shared" si="4"/>
        <v>23.3</v>
      </c>
      <c r="Q62" s="193">
        <f t="shared" si="4"/>
        <v>228</v>
      </c>
      <c r="R62" s="193">
        <f t="shared" si="4"/>
        <v>11.399999999999999</v>
      </c>
    </row>
    <row r="63" spans="1:18" ht="13.5">
      <c r="A63" s="767"/>
      <c r="B63" s="803"/>
      <c r="C63" s="193" t="s">
        <v>320</v>
      </c>
      <c r="D63" s="388">
        <v>15.4</v>
      </c>
      <c r="E63" s="192">
        <v>150</v>
      </c>
      <c r="F63" s="399">
        <v>7.5</v>
      </c>
      <c r="G63" s="192" t="s">
        <v>313</v>
      </c>
      <c r="H63" s="388">
        <v>15.2</v>
      </c>
      <c r="I63" s="192">
        <v>153</v>
      </c>
      <c r="J63" s="399">
        <v>7.65</v>
      </c>
      <c r="K63" s="193">
        <v>1</v>
      </c>
      <c r="L63" s="415"/>
      <c r="M63" s="193"/>
      <c r="N63" s="193">
        <v>1</v>
      </c>
      <c r="O63" s="193">
        <v>2</v>
      </c>
      <c r="P63" s="417">
        <f t="shared" si="4"/>
        <v>30.6</v>
      </c>
      <c r="Q63" s="193">
        <f t="shared" si="4"/>
        <v>303</v>
      </c>
      <c r="R63" s="193">
        <f t="shared" si="4"/>
        <v>15.15</v>
      </c>
    </row>
    <row r="64" spans="1:18" ht="13.5">
      <c r="A64" s="767"/>
      <c r="B64" s="803"/>
      <c r="C64" s="199" t="s">
        <v>321</v>
      </c>
      <c r="D64" s="391">
        <v>8.5</v>
      </c>
      <c r="E64" s="199">
        <v>61</v>
      </c>
      <c r="F64" s="399">
        <v>3.05</v>
      </c>
      <c r="G64" s="192" t="s">
        <v>322</v>
      </c>
      <c r="H64" s="388">
        <v>15.2</v>
      </c>
      <c r="I64" s="192">
        <v>164</v>
      </c>
      <c r="J64" s="193">
        <v>8.2</v>
      </c>
      <c r="K64" s="193">
        <v>1</v>
      </c>
      <c r="L64" s="415"/>
      <c r="M64" s="193"/>
      <c r="N64" s="193">
        <v>1</v>
      </c>
      <c r="O64" s="193">
        <v>2</v>
      </c>
      <c r="P64" s="417">
        <f t="shared" si="4"/>
        <v>23.7</v>
      </c>
      <c r="Q64" s="193">
        <f t="shared" si="4"/>
        <v>225</v>
      </c>
      <c r="R64" s="193">
        <f t="shared" si="4"/>
        <v>11.25</v>
      </c>
    </row>
    <row r="65" spans="1:18" ht="13.5">
      <c r="A65" s="767"/>
      <c r="B65" s="803"/>
      <c r="C65" s="199" t="s">
        <v>323</v>
      </c>
      <c r="D65" s="388">
        <v>8.5</v>
      </c>
      <c r="E65" s="199">
        <v>78</v>
      </c>
      <c r="F65" s="193">
        <v>3.9</v>
      </c>
      <c r="G65" s="192" t="s">
        <v>324</v>
      </c>
      <c r="H65" s="388">
        <v>15.2</v>
      </c>
      <c r="I65" s="192">
        <v>150</v>
      </c>
      <c r="J65" s="193">
        <v>7.5</v>
      </c>
      <c r="K65" s="193">
        <v>1</v>
      </c>
      <c r="L65" s="415"/>
      <c r="M65" s="193"/>
      <c r="N65" s="193">
        <v>1</v>
      </c>
      <c r="O65" s="193">
        <v>2</v>
      </c>
      <c r="P65" s="417">
        <f t="shared" si="4"/>
        <v>23.7</v>
      </c>
      <c r="Q65" s="193">
        <f t="shared" si="4"/>
        <v>228</v>
      </c>
      <c r="R65" s="193">
        <f t="shared" si="4"/>
        <v>11.4</v>
      </c>
    </row>
    <row r="66" spans="1:18" ht="13.5">
      <c r="A66" s="767"/>
      <c r="B66" s="803"/>
      <c r="C66" s="199" t="s">
        <v>325</v>
      </c>
      <c r="D66" s="391">
        <v>18.5</v>
      </c>
      <c r="E66" s="199">
        <v>202</v>
      </c>
      <c r="F66" s="193">
        <v>10.1</v>
      </c>
      <c r="G66" s="192" t="s">
        <v>326</v>
      </c>
      <c r="H66" s="388">
        <v>10.2</v>
      </c>
      <c r="I66" s="192">
        <v>105</v>
      </c>
      <c r="J66" s="193">
        <v>5.25</v>
      </c>
      <c r="K66" s="193">
        <v>1</v>
      </c>
      <c r="L66" s="415"/>
      <c r="M66" s="193"/>
      <c r="N66" s="193">
        <v>1</v>
      </c>
      <c r="O66" s="193">
        <v>2</v>
      </c>
      <c r="P66" s="417">
        <f t="shared" si="4"/>
        <v>28.7</v>
      </c>
      <c r="Q66" s="193">
        <f t="shared" si="4"/>
        <v>307</v>
      </c>
      <c r="R66" s="193">
        <f t="shared" si="4"/>
        <v>15.35</v>
      </c>
    </row>
    <row r="67" spans="1:18" ht="13.5">
      <c r="A67" s="767"/>
      <c r="B67" s="803"/>
      <c r="C67" s="199" t="s">
        <v>327</v>
      </c>
      <c r="D67" s="391">
        <v>8.5</v>
      </c>
      <c r="E67" s="199">
        <v>81</v>
      </c>
      <c r="F67" s="193">
        <v>4.05</v>
      </c>
      <c r="G67" s="192" t="s">
        <v>328</v>
      </c>
      <c r="H67" s="388">
        <v>8.6</v>
      </c>
      <c r="I67" s="192">
        <v>81</v>
      </c>
      <c r="J67" s="399">
        <v>4.05</v>
      </c>
      <c r="K67" s="193">
        <v>1</v>
      </c>
      <c r="L67" s="415"/>
      <c r="M67" s="193"/>
      <c r="N67" s="193">
        <v>1</v>
      </c>
      <c r="O67" s="193">
        <v>2</v>
      </c>
      <c r="P67" s="417">
        <f t="shared" si="4"/>
        <v>17.1</v>
      </c>
      <c r="Q67" s="193">
        <f t="shared" si="4"/>
        <v>162</v>
      </c>
      <c r="R67" s="193">
        <f t="shared" si="4"/>
        <v>8.1</v>
      </c>
    </row>
    <row r="68" spans="1:18" ht="13.5">
      <c r="A68" s="767"/>
      <c r="B68" s="803"/>
      <c r="C68" s="199" t="s">
        <v>329</v>
      </c>
      <c r="D68" s="391">
        <v>5</v>
      </c>
      <c r="E68" s="199">
        <v>41</v>
      </c>
      <c r="F68" s="193">
        <v>2.05</v>
      </c>
      <c r="G68" s="192" t="s">
        <v>330</v>
      </c>
      <c r="H68" s="388">
        <v>5.2</v>
      </c>
      <c r="I68" s="192">
        <v>35</v>
      </c>
      <c r="J68" s="399">
        <v>1.75</v>
      </c>
      <c r="K68" s="193">
        <v>1</v>
      </c>
      <c r="L68" s="415"/>
      <c r="M68" s="193"/>
      <c r="N68" s="193">
        <v>1</v>
      </c>
      <c r="O68" s="193">
        <v>2</v>
      </c>
      <c r="P68" s="417">
        <f t="shared" si="4"/>
        <v>10.2</v>
      </c>
      <c r="Q68" s="193">
        <f t="shared" si="4"/>
        <v>76</v>
      </c>
      <c r="R68" s="193">
        <f t="shared" si="4"/>
        <v>3.8</v>
      </c>
    </row>
    <row r="69" spans="1:18" ht="13.5">
      <c r="A69" s="767"/>
      <c r="B69" s="803"/>
      <c r="C69" s="199" t="s">
        <v>331</v>
      </c>
      <c r="D69" s="391">
        <v>10.5</v>
      </c>
      <c r="E69" s="199">
        <v>112</v>
      </c>
      <c r="F69" s="399">
        <v>5.6</v>
      </c>
      <c r="G69" s="199" t="s">
        <v>332</v>
      </c>
      <c r="H69" s="396">
        <v>10.4</v>
      </c>
      <c r="I69" s="397">
        <v>100</v>
      </c>
      <c r="J69" s="193">
        <v>5</v>
      </c>
      <c r="K69" s="193">
        <v>1</v>
      </c>
      <c r="L69" s="415"/>
      <c r="M69" s="193"/>
      <c r="N69" s="193">
        <v>1</v>
      </c>
      <c r="O69" s="193">
        <v>2</v>
      </c>
      <c r="P69" s="417">
        <f t="shared" si="4"/>
        <v>20.9</v>
      </c>
      <c r="Q69" s="193">
        <f t="shared" si="4"/>
        <v>212</v>
      </c>
      <c r="R69" s="193">
        <f t="shared" si="4"/>
        <v>10.6</v>
      </c>
    </row>
    <row r="70" spans="1:18" ht="13.5">
      <c r="A70" s="767"/>
      <c r="B70" s="803"/>
      <c r="C70" s="199" t="s">
        <v>333</v>
      </c>
      <c r="D70" s="391">
        <v>12.6</v>
      </c>
      <c r="E70" s="199">
        <v>136</v>
      </c>
      <c r="F70" s="193">
        <v>6.8</v>
      </c>
      <c r="G70" s="199" t="s">
        <v>334</v>
      </c>
      <c r="H70" s="396">
        <v>10.4</v>
      </c>
      <c r="I70" s="397">
        <v>110</v>
      </c>
      <c r="J70" s="193">
        <v>5.5</v>
      </c>
      <c r="K70" s="193">
        <v>1</v>
      </c>
      <c r="L70" s="415"/>
      <c r="M70" s="193"/>
      <c r="N70" s="193">
        <v>1</v>
      </c>
      <c r="O70" s="193">
        <v>2</v>
      </c>
      <c r="P70" s="417">
        <f t="shared" si="4"/>
        <v>23</v>
      </c>
      <c r="Q70" s="193">
        <f t="shared" si="4"/>
        <v>246</v>
      </c>
      <c r="R70" s="193">
        <f t="shared" si="4"/>
        <v>12.3</v>
      </c>
    </row>
    <row r="71" spans="1:18" ht="13.5">
      <c r="A71" s="767"/>
      <c r="B71" s="803"/>
      <c r="C71" s="199" t="s">
        <v>335</v>
      </c>
      <c r="D71" s="391">
        <v>5</v>
      </c>
      <c r="E71" s="199">
        <v>41</v>
      </c>
      <c r="F71" s="193">
        <v>2.05</v>
      </c>
      <c r="G71" s="192" t="s">
        <v>336</v>
      </c>
      <c r="H71" s="396">
        <v>10.4</v>
      </c>
      <c r="I71" s="397">
        <v>120</v>
      </c>
      <c r="J71" s="399">
        <v>6</v>
      </c>
      <c r="K71" s="193">
        <v>1</v>
      </c>
      <c r="L71" s="415"/>
      <c r="M71" s="193"/>
      <c r="N71" s="193">
        <v>1</v>
      </c>
      <c r="O71" s="193">
        <v>2</v>
      </c>
      <c r="P71" s="417">
        <f t="shared" si="4"/>
        <v>15.4</v>
      </c>
      <c r="Q71" s="193">
        <f t="shared" si="4"/>
        <v>161</v>
      </c>
      <c r="R71" s="193">
        <f t="shared" si="4"/>
        <v>8.05</v>
      </c>
    </row>
    <row r="72" spans="1:18" ht="13.5">
      <c r="A72" s="767"/>
      <c r="B72" s="803"/>
      <c r="C72" s="199" t="s">
        <v>337</v>
      </c>
      <c r="D72" s="391">
        <v>12.5</v>
      </c>
      <c r="E72" s="199">
        <v>139</v>
      </c>
      <c r="F72" s="193">
        <v>6.95</v>
      </c>
      <c r="G72" s="192" t="s">
        <v>338</v>
      </c>
      <c r="H72" s="388">
        <v>6</v>
      </c>
      <c r="I72" s="192">
        <v>50</v>
      </c>
      <c r="J72" s="399">
        <v>2.5</v>
      </c>
      <c r="K72" s="193">
        <v>1</v>
      </c>
      <c r="L72" s="415"/>
      <c r="M72" s="193"/>
      <c r="N72" s="193">
        <v>1</v>
      </c>
      <c r="O72" s="193">
        <v>2</v>
      </c>
      <c r="P72" s="417">
        <f t="shared" si="4"/>
        <v>18.5</v>
      </c>
      <c r="Q72" s="193">
        <f t="shared" si="4"/>
        <v>189</v>
      </c>
      <c r="R72" s="193">
        <f t="shared" si="4"/>
        <v>9.45</v>
      </c>
    </row>
    <row r="73" spans="1:18" ht="13.5">
      <c r="A73" s="767"/>
      <c r="B73" s="803"/>
      <c r="C73" s="199" t="s">
        <v>339</v>
      </c>
      <c r="D73" s="391">
        <v>15.8</v>
      </c>
      <c r="E73" s="199">
        <v>201</v>
      </c>
      <c r="F73" s="417">
        <v>10.05</v>
      </c>
      <c r="G73" s="192" t="s">
        <v>340</v>
      </c>
      <c r="H73" s="388">
        <v>10.2</v>
      </c>
      <c r="I73" s="192">
        <v>100</v>
      </c>
      <c r="J73" s="399">
        <v>5</v>
      </c>
      <c r="K73" s="193">
        <v>1</v>
      </c>
      <c r="L73" s="415"/>
      <c r="M73" s="193"/>
      <c r="N73" s="193">
        <v>1</v>
      </c>
      <c r="O73" s="193">
        <v>2</v>
      </c>
      <c r="P73" s="417">
        <f t="shared" si="4"/>
        <v>26</v>
      </c>
      <c r="Q73" s="193">
        <f t="shared" si="4"/>
        <v>301</v>
      </c>
      <c r="R73" s="193">
        <f t="shared" si="4"/>
        <v>15.05</v>
      </c>
    </row>
    <row r="74" spans="1:18" ht="13.5">
      <c r="A74" s="767"/>
      <c r="B74" s="803"/>
      <c r="C74" s="193" t="s">
        <v>341</v>
      </c>
      <c r="D74" s="388">
        <v>18.6</v>
      </c>
      <c r="E74" s="193">
        <v>193</v>
      </c>
      <c r="F74" s="399">
        <v>9.65</v>
      </c>
      <c r="G74" s="192" t="s">
        <v>342</v>
      </c>
      <c r="H74" s="388">
        <v>10.35</v>
      </c>
      <c r="I74" s="192">
        <v>120</v>
      </c>
      <c r="J74" s="193">
        <v>6.02</v>
      </c>
      <c r="K74" s="193">
        <v>1</v>
      </c>
      <c r="L74" s="415"/>
      <c r="M74" s="193"/>
      <c r="N74" s="193">
        <v>1</v>
      </c>
      <c r="O74" s="193">
        <v>2</v>
      </c>
      <c r="P74" s="417">
        <f t="shared" si="4"/>
        <v>28.950000000000003</v>
      </c>
      <c r="Q74" s="193">
        <f t="shared" si="4"/>
        <v>313</v>
      </c>
      <c r="R74" s="193">
        <f t="shared" si="4"/>
        <v>15.67</v>
      </c>
    </row>
    <row r="75" spans="1:18" ht="13.5">
      <c r="A75" s="767"/>
      <c r="B75" s="803"/>
      <c r="C75" s="193" t="s">
        <v>343</v>
      </c>
      <c r="D75" s="388">
        <v>15.8</v>
      </c>
      <c r="E75" s="193">
        <v>170</v>
      </c>
      <c r="F75" s="193">
        <v>8.5</v>
      </c>
      <c r="G75" s="204"/>
      <c r="H75" s="388"/>
      <c r="I75" s="204"/>
      <c r="J75" s="399"/>
      <c r="K75" s="193"/>
      <c r="L75" s="415"/>
      <c r="M75" s="193"/>
      <c r="N75" s="193"/>
      <c r="O75" s="193">
        <v>1</v>
      </c>
      <c r="P75" s="417">
        <f aca="true" t="shared" si="5" ref="P75:R106">D75+H75</f>
        <v>15.8</v>
      </c>
      <c r="Q75" s="193">
        <f t="shared" si="5"/>
        <v>170</v>
      </c>
      <c r="R75" s="193">
        <f t="shared" si="5"/>
        <v>8.5</v>
      </c>
    </row>
    <row r="76" spans="1:18" ht="13.5">
      <c r="A76" s="767"/>
      <c r="B76" s="803"/>
      <c r="C76" s="193" t="s">
        <v>344</v>
      </c>
      <c r="D76" s="388">
        <v>5</v>
      </c>
      <c r="E76" s="193">
        <v>40</v>
      </c>
      <c r="F76" s="193">
        <v>2.01</v>
      </c>
      <c r="G76" s="192"/>
      <c r="H76" s="391"/>
      <c r="I76" s="192"/>
      <c r="J76" s="193"/>
      <c r="K76" s="193"/>
      <c r="L76" s="415"/>
      <c r="M76" s="193"/>
      <c r="N76" s="193"/>
      <c r="O76" s="193">
        <v>1</v>
      </c>
      <c r="P76" s="417">
        <f t="shared" si="5"/>
        <v>5</v>
      </c>
      <c r="Q76" s="193">
        <f t="shared" si="5"/>
        <v>40</v>
      </c>
      <c r="R76" s="193">
        <f t="shared" si="5"/>
        <v>2.01</v>
      </c>
    </row>
    <row r="77" spans="1:18" ht="13.5">
      <c r="A77" s="767"/>
      <c r="B77" s="803"/>
      <c r="C77" s="199" t="s">
        <v>345</v>
      </c>
      <c r="D77" s="391">
        <v>15.6</v>
      </c>
      <c r="E77" s="199">
        <v>185</v>
      </c>
      <c r="F77" s="193">
        <v>9.25</v>
      </c>
      <c r="G77" s="192"/>
      <c r="H77" s="391"/>
      <c r="I77" s="192"/>
      <c r="J77" s="193"/>
      <c r="K77" s="193"/>
      <c r="L77" s="415"/>
      <c r="M77" s="193"/>
      <c r="N77" s="193"/>
      <c r="O77" s="193">
        <v>1</v>
      </c>
      <c r="P77" s="417">
        <f t="shared" si="5"/>
        <v>15.6</v>
      </c>
      <c r="Q77" s="193">
        <f t="shared" si="5"/>
        <v>185</v>
      </c>
      <c r="R77" s="193">
        <f t="shared" si="5"/>
        <v>9.25</v>
      </c>
    </row>
    <row r="78" spans="1:18" ht="13.5">
      <c r="A78" s="767"/>
      <c r="B78" s="803"/>
      <c r="C78" s="199" t="s">
        <v>346</v>
      </c>
      <c r="D78" s="388">
        <v>12.5</v>
      </c>
      <c r="E78" s="199">
        <v>136</v>
      </c>
      <c r="F78" s="399">
        <v>6.8</v>
      </c>
      <c r="G78" s="199"/>
      <c r="H78" s="391"/>
      <c r="I78" s="199"/>
      <c r="J78" s="193"/>
      <c r="K78" s="193"/>
      <c r="L78" s="415"/>
      <c r="M78" s="193"/>
      <c r="N78" s="193"/>
      <c r="O78" s="193">
        <v>1</v>
      </c>
      <c r="P78" s="417">
        <f t="shared" si="5"/>
        <v>12.5</v>
      </c>
      <c r="Q78" s="193">
        <f t="shared" si="5"/>
        <v>136</v>
      </c>
      <c r="R78" s="193">
        <f t="shared" si="5"/>
        <v>6.8</v>
      </c>
    </row>
    <row r="79" spans="1:18" ht="13.5">
      <c r="A79" s="767"/>
      <c r="B79" s="803"/>
      <c r="C79" s="199" t="s">
        <v>315</v>
      </c>
      <c r="D79" s="388">
        <v>8</v>
      </c>
      <c r="E79" s="199">
        <v>75</v>
      </c>
      <c r="F79" s="399">
        <v>3.75</v>
      </c>
      <c r="G79" s="199"/>
      <c r="H79" s="388"/>
      <c r="I79" s="199"/>
      <c r="J79" s="399"/>
      <c r="K79" s="193"/>
      <c r="L79" s="415"/>
      <c r="M79" s="193"/>
      <c r="N79" s="193"/>
      <c r="O79" s="193">
        <v>1</v>
      </c>
      <c r="P79" s="417">
        <f t="shared" si="5"/>
        <v>8</v>
      </c>
      <c r="Q79" s="193">
        <f t="shared" si="5"/>
        <v>75</v>
      </c>
      <c r="R79" s="193">
        <f t="shared" si="5"/>
        <v>3.75</v>
      </c>
    </row>
    <row r="80" spans="1:18" ht="13.5">
      <c r="A80" s="767"/>
      <c r="B80" s="803"/>
      <c r="C80" s="199" t="s">
        <v>347</v>
      </c>
      <c r="D80" s="391">
        <v>18.6</v>
      </c>
      <c r="E80" s="199">
        <v>191</v>
      </c>
      <c r="F80" s="399">
        <v>9.55</v>
      </c>
      <c r="G80" s="199"/>
      <c r="H80" s="388"/>
      <c r="I80" s="199"/>
      <c r="J80" s="399"/>
      <c r="K80" s="193"/>
      <c r="L80" s="415"/>
      <c r="M80" s="193"/>
      <c r="N80" s="193"/>
      <c r="O80" s="193">
        <v>1</v>
      </c>
      <c r="P80" s="417">
        <f t="shared" si="5"/>
        <v>18.6</v>
      </c>
      <c r="Q80" s="193">
        <f t="shared" si="5"/>
        <v>191</v>
      </c>
      <c r="R80" s="193">
        <f t="shared" si="5"/>
        <v>9.55</v>
      </c>
    </row>
    <row r="81" spans="1:18" ht="13.5">
      <c r="A81" s="767"/>
      <c r="B81" s="803"/>
      <c r="C81" s="199" t="s">
        <v>348</v>
      </c>
      <c r="D81" s="391">
        <v>5</v>
      </c>
      <c r="E81" s="199">
        <v>42</v>
      </c>
      <c r="F81" s="399">
        <v>2.1</v>
      </c>
      <c r="G81" s="199"/>
      <c r="H81" s="391"/>
      <c r="I81" s="199"/>
      <c r="J81" s="193"/>
      <c r="K81" s="193"/>
      <c r="L81" s="415"/>
      <c r="M81" s="193"/>
      <c r="N81" s="193"/>
      <c r="O81" s="193">
        <v>1</v>
      </c>
      <c r="P81" s="417">
        <f t="shared" si="5"/>
        <v>5</v>
      </c>
      <c r="Q81" s="193">
        <f t="shared" si="5"/>
        <v>42</v>
      </c>
      <c r="R81" s="193">
        <f t="shared" si="5"/>
        <v>2.1</v>
      </c>
    </row>
    <row r="82" spans="1:18" ht="13.5">
      <c r="A82" s="767"/>
      <c r="B82" s="803"/>
      <c r="C82" s="192" t="s">
        <v>349</v>
      </c>
      <c r="D82" s="388">
        <v>10.4</v>
      </c>
      <c r="E82" s="192">
        <v>111</v>
      </c>
      <c r="F82" s="399">
        <v>5.55</v>
      </c>
      <c r="G82" s="192"/>
      <c r="H82" s="391"/>
      <c r="I82" s="192"/>
      <c r="J82" s="193"/>
      <c r="K82" s="193"/>
      <c r="L82" s="415"/>
      <c r="M82" s="193"/>
      <c r="N82" s="193"/>
      <c r="O82" s="193">
        <v>1</v>
      </c>
      <c r="P82" s="417">
        <f t="shared" si="5"/>
        <v>10.4</v>
      </c>
      <c r="Q82" s="193">
        <f t="shared" si="5"/>
        <v>111</v>
      </c>
      <c r="R82" s="193">
        <f t="shared" si="5"/>
        <v>5.55</v>
      </c>
    </row>
    <row r="83" spans="1:18" ht="13.5">
      <c r="A83" s="767"/>
      <c r="B83" s="803"/>
      <c r="C83" s="192" t="s">
        <v>350</v>
      </c>
      <c r="D83" s="388">
        <v>10.5</v>
      </c>
      <c r="E83" s="192">
        <v>103</v>
      </c>
      <c r="F83" s="193">
        <v>5.15</v>
      </c>
      <c r="G83" s="193"/>
      <c r="H83" s="193"/>
      <c r="I83" s="193"/>
      <c r="J83" s="193"/>
      <c r="K83" s="193"/>
      <c r="L83" s="415"/>
      <c r="M83" s="193"/>
      <c r="N83" s="193"/>
      <c r="O83" s="193">
        <v>1</v>
      </c>
      <c r="P83" s="417">
        <f t="shared" si="5"/>
        <v>10.5</v>
      </c>
      <c r="Q83" s="193">
        <f t="shared" si="5"/>
        <v>103</v>
      </c>
      <c r="R83" s="193">
        <f t="shared" si="5"/>
        <v>5.15</v>
      </c>
    </row>
    <row r="84" spans="1:18" ht="13.5">
      <c r="A84" s="767"/>
      <c r="B84" s="803"/>
      <c r="C84" s="192" t="s">
        <v>351</v>
      </c>
      <c r="D84" s="391">
        <v>5</v>
      </c>
      <c r="E84" s="192">
        <v>46</v>
      </c>
      <c r="F84" s="399">
        <v>2.3</v>
      </c>
      <c r="G84" s="193"/>
      <c r="H84" s="193"/>
      <c r="I84" s="193"/>
      <c r="J84" s="193"/>
      <c r="K84" s="193"/>
      <c r="L84" s="415"/>
      <c r="M84" s="193"/>
      <c r="N84" s="193"/>
      <c r="O84" s="193">
        <v>1</v>
      </c>
      <c r="P84" s="417">
        <f t="shared" si="5"/>
        <v>5</v>
      </c>
      <c r="Q84" s="193">
        <f t="shared" si="5"/>
        <v>46</v>
      </c>
      <c r="R84" s="193">
        <f t="shared" si="5"/>
        <v>2.3</v>
      </c>
    </row>
    <row r="85" spans="1:18" ht="13.5">
      <c r="A85" s="767"/>
      <c r="B85" s="803"/>
      <c r="C85" s="192" t="s">
        <v>352</v>
      </c>
      <c r="D85" s="391">
        <v>15.2</v>
      </c>
      <c r="E85" s="192">
        <v>153</v>
      </c>
      <c r="F85" s="193">
        <v>7.65</v>
      </c>
      <c r="G85" s="193"/>
      <c r="H85" s="193"/>
      <c r="I85" s="193"/>
      <c r="J85" s="193"/>
      <c r="K85" s="193"/>
      <c r="L85" s="415"/>
      <c r="M85" s="193"/>
      <c r="N85" s="193"/>
      <c r="O85" s="193">
        <v>1</v>
      </c>
      <c r="P85" s="417">
        <f t="shared" si="5"/>
        <v>15.2</v>
      </c>
      <c r="Q85" s="193">
        <f t="shared" si="5"/>
        <v>153</v>
      </c>
      <c r="R85" s="193">
        <f t="shared" si="5"/>
        <v>7.65</v>
      </c>
    </row>
    <row r="86" spans="1:18" ht="13.5">
      <c r="A86" s="767"/>
      <c r="B86" s="803"/>
      <c r="C86" s="192" t="s">
        <v>353</v>
      </c>
      <c r="D86" s="388">
        <v>15.2</v>
      </c>
      <c r="E86" s="192">
        <v>136</v>
      </c>
      <c r="F86" s="193">
        <v>6.8</v>
      </c>
      <c r="G86" s="193"/>
      <c r="H86" s="193"/>
      <c r="I86" s="193"/>
      <c r="J86" s="193"/>
      <c r="K86" s="193"/>
      <c r="L86" s="415"/>
      <c r="M86" s="193"/>
      <c r="N86" s="193"/>
      <c r="O86" s="193">
        <v>1</v>
      </c>
      <c r="P86" s="417">
        <f t="shared" si="5"/>
        <v>15.2</v>
      </c>
      <c r="Q86" s="193">
        <f t="shared" si="5"/>
        <v>136</v>
      </c>
      <c r="R86" s="193">
        <f t="shared" si="5"/>
        <v>6.8</v>
      </c>
    </row>
    <row r="87" spans="1:18" ht="13.5">
      <c r="A87" s="767"/>
      <c r="B87" s="803"/>
      <c r="C87" s="192" t="s">
        <v>354</v>
      </c>
      <c r="D87" s="388">
        <v>10.5</v>
      </c>
      <c r="E87" s="192">
        <v>94</v>
      </c>
      <c r="F87" s="193">
        <v>4.7</v>
      </c>
      <c r="G87" s="193"/>
      <c r="H87" s="193"/>
      <c r="I87" s="193"/>
      <c r="J87" s="193"/>
      <c r="K87" s="193"/>
      <c r="L87" s="415"/>
      <c r="M87" s="193"/>
      <c r="N87" s="193"/>
      <c r="O87" s="193">
        <v>1</v>
      </c>
      <c r="P87" s="417">
        <f t="shared" si="5"/>
        <v>10.5</v>
      </c>
      <c r="Q87" s="193">
        <f t="shared" si="5"/>
        <v>94</v>
      </c>
      <c r="R87" s="193">
        <f t="shared" si="5"/>
        <v>4.7</v>
      </c>
    </row>
    <row r="88" spans="1:18" ht="13.5">
      <c r="A88" s="767"/>
      <c r="B88" s="803"/>
      <c r="C88" s="192" t="s">
        <v>355</v>
      </c>
      <c r="D88" s="388">
        <v>10.5</v>
      </c>
      <c r="E88" s="192">
        <v>128</v>
      </c>
      <c r="F88" s="193">
        <v>6.4</v>
      </c>
      <c r="G88" s="193"/>
      <c r="H88" s="193"/>
      <c r="I88" s="193"/>
      <c r="J88" s="193"/>
      <c r="K88" s="193"/>
      <c r="L88" s="415"/>
      <c r="M88" s="193"/>
      <c r="N88" s="193"/>
      <c r="O88" s="193">
        <v>1</v>
      </c>
      <c r="P88" s="417">
        <f t="shared" si="5"/>
        <v>10.5</v>
      </c>
      <c r="Q88" s="193">
        <f t="shared" si="5"/>
        <v>128</v>
      </c>
      <c r="R88" s="193">
        <f t="shared" si="5"/>
        <v>6.4</v>
      </c>
    </row>
    <row r="89" spans="1:18" ht="13.5">
      <c r="A89" s="767"/>
      <c r="B89" s="803"/>
      <c r="C89" s="192" t="s">
        <v>356</v>
      </c>
      <c r="D89" s="388">
        <v>5</v>
      </c>
      <c r="E89" s="192">
        <v>30</v>
      </c>
      <c r="F89" s="399">
        <v>1.5</v>
      </c>
      <c r="G89" s="193"/>
      <c r="H89" s="193"/>
      <c r="I89" s="193"/>
      <c r="J89" s="193"/>
      <c r="K89" s="193"/>
      <c r="L89" s="415"/>
      <c r="M89" s="193"/>
      <c r="N89" s="193"/>
      <c r="O89" s="193">
        <v>1</v>
      </c>
      <c r="P89" s="417">
        <f t="shared" si="5"/>
        <v>5</v>
      </c>
      <c r="Q89" s="193">
        <f t="shared" si="5"/>
        <v>30</v>
      </c>
      <c r="R89" s="193">
        <f t="shared" si="5"/>
        <v>1.5</v>
      </c>
    </row>
    <row r="90" spans="1:18" ht="13.5">
      <c r="A90" s="767"/>
      <c r="B90" s="803"/>
      <c r="C90" s="192" t="s">
        <v>357</v>
      </c>
      <c r="D90" s="388">
        <v>8</v>
      </c>
      <c r="E90" s="192">
        <v>66</v>
      </c>
      <c r="F90" s="399">
        <v>3.3</v>
      </c>
      <c r="G90" s="193"/>
      <c r="H90" s="193"/>
      <c r="I90" s="193"/>
      <c r="J90" s="193"/>
      <c r="K90" s="193"/>
      <c r="L90" s="415"/>
      <c r="M90" s="193"/>
      <c r="N90" s="193"/>
      <c r="O90" s="193">
        <v>1</v>
      </c>
      <c r="P90" s="417">
        <f t="shared" si="5"/>
        <v>8</v>
      </c>
      <c r="Q90" s="193">
        <f t="shared" si="5"/>
        <v>66</v>
      </c>
      <c r="R90" s="193">
        <f t="shared" si="5"/>
        <v>3.3</v>
      </c>
    </row>
    <row r="91" spans="1:18" ht="13.5">
      <c r="A91" s="767"/>
      <c r="B91" s="803"/>
      <c r="C91" s="192" t="s">
        <v>358</v>
      </c>
      <c r="D91" s="388">
        <v>5</v>
      </c>
      <c r="E91" s="192">
        <v>37</v>
      </c>
      <c r="F91" s="399">
        <v>1.85</v>
      </c>
      <c r="G91" s="193"/>
      <c r="H91" s="193"/>
      <c r="I91" s="193"/>
      <c r="J91" s="193"/>
      <c r="K91" s="193"/>
      <c r="L91" s="415"/>
      <c r="M91" s="193"/>
      <c r="N91" s="193"/>
      <c r="O91" s="193">
        <v>1</v>
      </c>
      <c r="P91" s="417">
        <f t="shared" si="5"/>
        <v>5</v>
      </c>
      <c r="Q91" s="193">
        <f t="shared" si="5"/>
        <v>37</v>
      </c>
      <c r="R91" s="193">
        <f t="shared" si="5"/>
        <v>1.85</v>
      </c>
    </row>
    <row r="92" spans="1:18" ht="13.5">
      <c r="A92" s="767"/>
      <c r="B92" s="803"/>
      <c r="C92" s="192" t="s">
        <v>359</v>
      </c>
      <c r="D92" s="388">
        <v>10</v>
      </c>
      <c r="E92" s="192">
        <v>90</v>
      </c>
      <c r="F92" s="399">
        <v>4.5</v>
      </c>
      <c r="G92" s="193"/>
      <c r="H92" s="193"/>
      <c r="I92" s="193"/>
      <c r="J92" s="193"/>
      <c r="K92" s="193"/>
      <c r="L92" s="415"/>
      <c r="M92" s="193"/>
      <c r="N92" s="193"/>
      <c r="O92" s="193">
        <v>1</v>
      </c>
      <c r="P92" s="417">
        <f t="shared" si="5"/>
        <v>10</v>
      </c>
      <c r="Q92" s="193">
        <f t="shared" si="5"/>
        <v>90</v>
      </c>
      <c r="R92" s="193">
        <f t="shared" si="5"/>
        <v>4.5</v>
      </c>
    </row>
    <row r="93" spans="1:18" ht="13.5">
      <c r="A93" s="767"/>
      <c r="B93" s="803"/>
      <c r="C93" s="192" t="s">
        <v>360</v>
      </c>
      <c r="D93" s="388">
        <v>10</v>
      </c>
      <c r="E93" s="192">
        <v>107</v>
      </c>
      <c r="F93" s="399">
        <v>5.35</v>
      </c>
      <c r="G93" s="193"/>
      <c r="H93" s="193"/>
      <c r="I93" s="193"/>
      <c r="J93" s="193"/>
      <c r="K93" s="193"/>
      <c r="L93" s="415"/>
      <c r="M93" s="193"/>
      <c r="N93" s="193"/>
      <c r="O93" s="193">
        <v>1</v>
      </c>
      <c r="P93" s="417">
        <f t="shared" si="5"/>
        <v>10</v>
      </c>
      <c r="Q93" s="193">
        <f t="shared" si="5"/>
        <v>107</v>
      </c>
      <c r="R93" s="193">
        <f t="shared" si="5"/>
        <v>5.35</v>
      </c>
    </row>
    <row r="94" spans="1:18" ht="13.5">
      <c r="A94" s="767"/>
      <c r="B94" s="803"/>
      <c r="C94" s="192" t="s">
        <v>361</v>
      </c>
      <c r="D94" s="388">
        <v>15.2</v>
      </c>
      <c r="E94" s="192">
        <f>45+65+38</f>
        <v>148</v>
      </c>
      <c r="F94" s="399">
        <v>7.4</v>
      </c>
      <c r="G94" s="193"/>
      <c r="H94" s="193"/>
      <c r="I94" s="193"/>
      <c r="J94" s="193"/>
      <c r="K94" s="193"/>
      <c r="L94" s="415"/>
      <c r="M94" s="193"/>
      <c r="N94" s="193"/>
      <c r="O94" s="193">
        <v>1</v>
      </c>
      <c r="P94" s="417">
        <f t="shared" si="5"/>
        <v>15.2</v>
      </c>
      <c r="Q94" s="193">
        <f t="shared" si="5"/>
        <v>148</v>
      </c>
      <c r="R94" s="193">
        <f t="shared" si="5"/>
        <v>7.4</v>
      </c>
    </row>
    <row r="95" spans="1:18" ht="13.5">
      <c r="A95" s="767"/>
      <c r="B95" s="803"/>
      <c r="C95" s="192" t="s">
        <v>362</v>
      </c>
      <c r="D95" s="388">
        <v>10</v>
      </c>
      <c r="E95" s="192">
        <v>90</v>
      </c>
      <c r="F95" s="399">
        <v>4.5</v>
      </c>
      <c r="G95" s="193"/>
      <c r="H95" s="193"/>
      <c r="I95" s="193"/>
      <c r="J95" s="193"/>
      <c r="K95" s="193"/>
      <c r="L95" s="415"/>
      <c r="M95" s="193"/>
      <c r="N95" s="193"/>
      <c r="O95" s="193">
        <v>1</v>
      </c>
      <c r="P95" s="417">
        <f t="shared" si="5"/>
        <v>10</v>
      </c>
      <c r="Q95" s="193">
        <f t="shared" si="5"/>
        <v>90</v>
      </c>
      <c r="R95" s="193">
        <f t="shared" si="5"/>
        <v>4.5</v>
      </c>
    </row>
    <row r="96" spans="1:18" ht="13.5">
      <c r="A96" s="767"/>
      <c r="B96" s="803"/>
      <c r="C96" s="192" t="s">
        <v>333</v>
      </c>
      <c r="D96" s="388">
        <v>10</v>
      </c>
      <c r="E96" s="192">
        <v>84</v>
      </c>
      <c r="F96" s="399">
        <v>4.2</v>
      </c>
      <c r="G96" s="193"/>
      <c r="H96" s="193"/>
      <c r="I96" s="193"/>
      <c r="J96" s="193"/>
      <c r="K96" s="193"/>
      <c r="L96" s="415"/>
      <c r="M96" s="193"/>
      <c r="N96" s="193"/>
      <c r="O96" s="193">
        <v>1</v>
      </c>
      <c r="P96" s="417">
        <f t="shared" si="5"/>
        <v>10</v>
      </c>
      <c r="Q96" s="193">
        <f t="shared" si="5"/>
        <v>84</v>
      </c>
      <c r="R96" s="193">
        <f t="shared" si="5"/>
        <v>4.2</v>
      </c>
    </row>
    <row r="97" spans="1:18" ht="13.5">
      <c r="A97" s="767"/>
      <c r="B97" s="803"/>
      <c r="C97" s="192" t="s">
        <v>363</v>
      </c>
      <c r="D97" s="388">
        <v>10</v>
      </c>
      <c r="E97" s="192">
        <v>93</v>
      </c>
      <c r="F97" s="399">
        <v>4.65</v>
      </c>
      <c r="G97" s="193"/>
      <c r="H97" s="193"/>
      <c r="I97" s="193"/>
      <c r="J97" s="193"/>
      <c r="K97" s="193"/>
      <c r="L97" s="415"/>
      <c r="M97" s="193"/>
      <c r="N97" s="193"/>
      <c r="O97" s="193">
        <v>1</v>
      </c>
      <c r="P97" s="417">
        <f t="shared" si="5"/>
        <v>10</v>
      </c>
      <c r="Q97" s="193">
        <f t="shared" si="5"/>
        <v>93</v>
      </c>
      <c r="R97" s="193">
        <f t="shared" si="5"/>
        <v>4.65</v>
      </c>
    </row>
    <row r="98" spans="1:18" ht="13.5">
      <c r="A98" s="767"/>
      <c r="B98" s="803"/>
      <c r="C98" s="192" t="s">
        <v>364</v>
      </c>
      <c r="D98" s="388">
        <v>12.8</v>
      </c>
      <c r="E98" s="192">
        <v>149</v>
      </c>
      <c r="F98" s="399">
        <v>7.45</v>
      </c>
      <c r="G98" s="193"/>
      <c r="H98" s="193"/>
      <c r="I98" s="193"/>
      <c r="J98" s="193"/>
      <c r="K98" s="193"/>
      <c r="L98" s="415"/>
      <c r="M98" s="193"/>
      <c r="N98" s="193"/>
      <c r="O98" s="193">
        <v>1</v>
      </c>
      <c r="P98" s="417">
        <f t="shared" si="5"/>
        <v>12.8</v>
      </c>
      <c r="Q98" s="193">
        <f t="shared" si="5"/>
        <v>149</v>
      </c>
      <c r="R98" s="193">
        <f t="shared" si="5"/>
        <v>7.45</v>
      </c>
    </row>
    <row r="99" spans="1:18" ht="13.5">
      <c r="A99" s="767"/>
      <c r="B99" s="803"/>
      <c r="C99" s="192" t="s">
        <v>365</v>
      </c>
      <c r="D99" s="388">
        <v>12.8</v>
      </c>
      <c r="E99" s="192">
        <v>154</v>
      </c>
      <c r="F99" s="399">
        <v>7.7</v>
      </c>
      <c r="G99" s="193"/>
      <c r="H99" s="193"/>
      <c r="I99" s="193"/>
      <c r="J99" s="193"/>
      <c r="K99" s="193"/>
      <c r="L99" s="415"/>
      <c r="M99" s="193"/>
      <c r="N99" s="193"/>
      <c r="O99" s="193">
        <v>1</v>
      </c>
      <c r="P99" s="417">
        <f t="shared" si="5"/>
        <v>12.8</v>
      </c>
      <c r="Q99" s="193">
        <f t="shared" si="5"/>
        <v>154</v>
      </c>
      <c r="R99" s="193">
        <f t="shared" si="5"/>
        <v>7.7</v>
      </c>
    </row>
    <row r="100" spans="1:18" ht="13.5">
      <c r="A100" s="767"/>
      <c r="B100" s="803"/>
      <c r="C100" s="192" t="s">
        <v>366</v>
      </c>
      <c r="D100" s="388">
        <v>15.2</v>
      </c>
      <c r="E100" s="192">
        <v>186</v>
      </c>
      <c r="F100" s="399">
        <v>9.3</v>
      </c>
      <c r="G100" s="193"/>
      <c r="H100" s="193"/>
      <c r="I100" s="193"/>
      <c r="J100" s="193"/>
      <c r="K100" s="193"/>
      <c r="L100" s="415"/>
      <c r="M100" s="193"/>
      <c r="N100" s="193"/>
      <c r="O100" s="193">
        <v>1</v>
      </c>
      <c r="P100" s="417">
        <f t="shared" si="5"/>
        <v>15.2</v>
      </c>
      <c r="Q100" s="193">
        <f t="shared" si="5"/>
        <v>186</v>
      </c>
      <c r="R100" s="193">
        <f t="shared" si="5"/>
        <v>9.3</v>
      </c>
    </row>
    <row r="101" spans="1:18" ht="13.5">
      <c r="A101" s="767"/>
      <c r="B101" s="803"/>
      <c r="C101" s="192" t="s">
        <v>367</v>
      </c>
      <c r="D101" s="388">
        <v>10</v>
      </c>
      <c r="E101" s="192">
        <v>85</v>
      </c>
      <c r="F101" s="399">
        <v>4.25</v>
      </c>
      <c r="G101" s="193"/>
      <c r="H101" s="193"/>
      <c r="I101" s="193"/>
      <c r="J101" s="193"/>
      <c r="K101" s="193"/>
      <c r="L101" s="415"/>
      <c r="M101" s="193"/>
      <c r="N101" s="193"/>
      <c r="O101" s="193">
        <v>1</v>
      </c>
      <c r="P101" s="417">
        <f t="shared" si="5"/>
        <v>10</v>
      </c>
      <c r="Q101" s="193">
        <f t="shared" si="5"/>
        <v>85</v>
      </c>
      <c r="R101" s="193">
        <f t="shared" si="5"/>
        <v>4.25</v>
      </c>
    </row>
    <row r="102" spans="1:18" ht="13.5">
      <c r="A102" s="767"/>
      <c r="B102" s="803"/>
      <c r="C102" s="192" t="s">
        <v>368</v>
      </c>
      <c r="D102" s="388">
        <v>12.5</v>
      </c>
      <c r="E102" s="192">
        <v>130</v>
      </c>
      <c r="F102" s="399">
        <v>6.5</v>
      </c>
      <c r="G102" s="193"/>
      <c r="H102" s="193"/>
      <c r="I102" s="193"/>
      <c r="J102" s="193"/>
      <c r="K102" s="193"/>
      <c r="L102" s="415"/>
      <c r="M102" s="193"/>
      <c r="N102" s="193"/>
      <c r="O102" s="193">
        <v>1</v>
      </c>
      <c r="P102" s="417">
        <f t="shared" si="5"/>
        <v>12.5</v>
      </c>
      <c r="Q102" s="193">
        <f t="shared" si="5"/>
        <v>130</v>
      </c>
      <c r="R102" s="193">
        <f t="shared" si="5"/>
        <v>6.5</v>
      </c>
    </row>
    <row r="103" spans="1:18" ht="13.5">
      <c r="A103" s="767"/>
      <c r="B103" s="803"/>
      <c r="C103" s="192" t="s">
        <v>369</v>
      </c>
      <c r="D103" s="388">
        <v>10</v>
      </c>
      <c r="E103" s="192">
        <v>79</v>
      </c>
      <c r="F103" s="399">
        <v>3.95</v>
      </c>
      <c r="G103" s="193"/>
      <c r="H103" s="193"/>
      <c r="I103" s="193"/>
      <c r="J103" s="193"/>
      <c r="K103" s="193"/>
      <c r="L103" s="415"/>
      <c r="M103" s="193"/>
      <c r="N103" s="193"/>
      <c r="O103" s="193">
        <v>1</v>
      </c>
      <c r="P103" s="417">
        <f t="shared" si="5"/>
        <v>10</v>
      </c>
      <c r="Q103" s="193">
        <f t="shared" si="5"/>
        <v>79</v>
      </c>
      <c r="R103" s="193">
        <f t="shared" si="5"/>
        <v>3.95</v>
      </c>
    </row>
    <row r="104" spans="1:18" ht="13.5">
      <c r="A104" s="767"/>
      <c r="B104" s="803"/>
      <c r="C104" s="192" t="s">
        <v>370</v>
      </c>
      <c r="D104" s="388">
        <v>15.5</v>
      </c>
      <c r="E104" s="192">
        <v>186</v>
      </c>
      <c r="F104" s="399">
        <v>9.3</v>
      </c>
      <c r="G104" s="193"/>
      <c r="H104" s="193"/>
      <c r="I104" s="193"/>
      <c r="J104" s="193"/>
      <c r="K104" s="193"/>
      <c r="L104" s="415"/>
      <c r="M104" s="193"/>
      <c r="N104" s="193"/>
      <c r="O104" s="193">
        <v>1</v>
      </c>
      <c r="P104" s="417">
        <f t="shared" si="5"/>
        <v>15.5</v>
      </c>
      <c r="Q104" s="193">
        <f t="shared" si="5"/>
        <v>186</v>
      </c>
      <c r="R104" s="193">
        <f t="shared" si="5"/>
        <v>9.3</v>
      </c>
    </row>
    <row r="105" spans="1:18" ht="13.5">
      <c r="A105" s="767"/>
      <c r="B105" s="803"/>
      <c r="C105" s="192" t="s">
        <v>371</v>
      </c>
      <c r="D105" s="388">
        <v>10</v>
      </c>
      <c r="E105" s="192">
        <v>112</v>
      </c>
      <c r="F105" s="399">
        <v>5.6</v>
      </c>
      <c r="G105" s="193"/>
      <c r="H105" s="193"/>
      <c r="I105" s="193"/>
      <c r="J105" s="193"/>
      <c r="K105" s="193"/>
      <c r="L105" s="415"/>
      <c r="M105" s="193"/>
      <c r="N105" s="193"/>
      <c r="O105" s="193">
        <v>1</v>
      </c>
      <c r="P105" s="417">
        <f t="shared" si="5"/>
        <v>10</v>
      </c>
      <c r="Q105" s="193">
        <f t="shared" si="5"/>
        <v>112</v>
      </c>
      <c r="R105" s="193">
        <f t="shared" si="5"/>
        <v>5.6</v>
      </c>
    </row>
    <row r="106" spans="1:18" ht="13.5">
      <c r="A106" s="767"/>
      <c r="B106" s="803"/>
      <c r="C106" s="387" t="s">
        <v>372</v>
      </c>
      <c r="D106" s="388">
        <v>8.4</v>
      </c>
      <c r="E106" s="192">
        <v>59</v>
      </c>
      <c r="F106" s="399">
        <v>2.95</v>
      </c>
      <c r="G106" s="193"/>
      <c r="H106" s="193"/>
      <c r="I106" s="193"/>
      <c r="J106" s="193"/>
      <c r="K106" s="193"/>
      <c r="L106" s="415"/>
      <c r="M106" s="193"/>
      <c r="N106" s="193"/>
      <c r="O106" s="193">
        <v>1</v>
      </c>
      <c r="P106" s="417">
        <f t="shared" si="5"/>
        <v>8.4</v>
      </c>
      <c r="Q106" s="193">
        <f t="shared" si="5"/>
        <v>59</v>
      </c>
      <c r="R106" s="193">
        <f t="shared" si="5"/>
        <v>2.95</v>
      </c>
    </row>
    <row r="107" spans="1:18" ht="13.5">
      <c r="A107" s="804" t="s">
        <v>373</v>
      </c>
      <c r="B107" s="805"/>
      <c r="C107" s="376"/>
      <c r="D107" s="376"/>
      <c r="E107" s="376"/>
      <c r="F107" s="376"/>
      <c r="G107" s="376">
        <v>38</v>
      </c>
      <c r="H107" s="413">
        <f>SUM(H108:H145)</f>
        <v>376.04999999999995</v>
      </c>
      <c r="I107" s="414">
        <f aca="true" t="shared" si="6" ref="I107:R107">SUM(I108:I145)</f>
        <v>5014</v>
      </c>
      <c r="J107" s="413">
        <f t="shared" si="6"/>
        <v>325.9100000000001</v>
      </c>
      <c r="K107" s="413"/>
      <c r="L107" s="413"/>
      <c r="M107" s="376">
        <f t="shared" si="6"/>
        <v>38</v>
      </c>
      <c r="N107" s="376">
        <f t="shared" si="6"/>
        <v>38</v>
      </c>
      <c r="O107" s="376">
        <f t="shared" si="6"/>
        <v>38</v>
      </c>
      <c r="P107" s="413">
        <f t="shared" si="6"/>
        <v>376.04999999999995</v>
      </c>
      <c r="Q107" s="376">
        <f t="shared" si="6"/>
        <v>5014</v>
      </c>
      <c r="R107" s="413">
        <f t="shared" si="6"/>
        <v>325.9100000000001</v>
      </c>
    </row>
    <row r="108" spans="1:18" ht="21">
      <c r="A108" s="775" t="s">
        <v>374</v>
      </c>
      <c r="B108" s="775" t="s">
        <v>2087</v>
      </c>
      <c r="C108" s="204"/>
      <c r="D108" s="193"/>
      <c r="E108" s="193"/>
      <c r="F108" s="193"/>
      <c r="G108" s="419" t="s">
        <v>375</v>
      </c>
      <c r="H108" s="420">
        <f>I108*0.075</f>
        <v>4.95</v>
      </c>
      <c r="I108" s="421">
        <v>66</v>
      </c>
      <c r="J108" s="193">
        <v>4.29</v>
      </c>
      <c r="K108" s="193"/>
      <c r="L108" s="193"/>
      <c r="M108" s="421">
        <v>1</v>
      </c>
      <c r="N108" s="421">
        <v>1</v>
      </c>
      <c r="O108" s="421">
        <v>1</v>
      </c>
      <c r="P108" s="420">
        <f>Q108*0.075</f>
        <v>4.95</v>
      </c>
      <c r="Q108" s="421">
        <v>66</v>
      </c>
      <c r="R108" s="420">
        <f>Q108*0.065</f>
        <v>4.29</v>
      </c>
    </row>
    <row r="109" spans="1:18" ht="21">
      <c r="A109" s="775"/>
      <c r="B109" s="775"/>
      <c r="C109" s="204"/>
      <c r="D109" s="193"/>
      <c r="E109" s="193"/>
      <c r="F109" s="193"/>
      <c r="G109" s="419" t="s">
        <v>376</v>
      </c>
      <c r="H109" s="420">
        <f aca="true" t="shared" si="7" ref="H109:H145">I109*0.075</f>
        <v>12.15</v>
      </c>
      <c r="I109" s="421">
        <v>162</v>
      </c>
      <c r="J109" s="193">
        <v>10.53</v>
      </c>
      <c r="K109" s="193"/>
      <c r="L109" s="193"/>
      <c r="M109" s="421">
        <v>1</v>
      </c>
      <c r="N109" s="421">
        <v>1</v>
      </c>
      <c r="O109" s="421">
        <v>1</v>
      </c>
      <c r="P109" s="420">
        <f aca="true" t="shared" si="8" ref="P109:P145">Q109*0.075</f>
        <v>12.15</v>
      </c>
      <c r="Q109" s="421">
        <v>162</v>
      </c>
      <c r="R109" s="420">
        <f aca="true" t="shared" si="9" ref="R109:R145">Q109*0.065</f>
        <v>10.530000000000001</v>
      </c>
    </row>
    <row r="110" spans="1:18" ht="21">
      <c r="A110" s="775"/>
      <c r="B110" s="775"/>
      <c r="C110" s="204"/>
      <c r="D110" s="193"/>
      <c r="E110" s="193"/>
      <c r="F110" s="193"/>
      <c r="G110" s="419" t="s">
        <v>377</v>
      </c>
      <c r="H110" s="420">
        <f t="shared" si="7"/>
        <v>6.5249999999999995</v>
      </c>
      <c r="I110" s="421">
        <v>87</v>
      </c>
      <c r="J110" s="193">
        <v>5.655</v>
      </c>
      <c r="K110" s="193"/>
      <c r="L110" s="193"/>
      <c r="M110" s="421">
        <v>1</v>
      </c>
      <c r="N110" s="421">
        <v>1</v>
      </c>
      <c r="O110" s="421">
        <v>1</v>
      </c>
      <c r="P110" s="420">
        <f t="shared" si="8"/>
        <v>6.5249999999999995</v>
      </c>
      <c r="Q110" s="421">
        <v>87</v>
      </c>
      <c r="R110" s="420">
        <f t="shared" si="9"/>
        <v>5.655</v>
      </c>
    </row>
    <row r="111" spans="1:18" ht="21">
      <c r="A111" s="775"/>
      <c r="B111" s="775"/>
      <c r="C111" s="204"/>
      <c r="D111" s="193"/>
      <c r="E111" s="193"/>
      <c r="F111" s="193"/>
      <c r="G111" s="419" t="s">
        <v>378</v>
      </c>
      <c r="H111" s="420">
        <f t="shared" si="7"/>
        <v>12.674999999999999</v>
      </c>
      <c r="I111" s="421">
        <v>169</v>
      </c>
      <c r="J111" s="193">
        <v>10.985</v>
      </c>
      <c r="K111" s="193"/>
      <c r="L111" s="193"/>
      <c r="M111" s="421">
        <v>1</v>
      </c>
      <c r="N111" s="421">
        <v>1</v>
      </c>
      <c r="O111" s="421">
        <v>1</v>
      </c>
      <c r="P111" s="420">
        <f t="shared" si="8"/>
        <v>12.674999999999999</v>
      </c>
      <c r="Q111" s="421">
        <v>169</v>
      </c>
      <c r="R111" s="420">
        <f t="shared" si="9"/>
        <v>10.985000000000001</v>
      </c>
    </row>
    <row r="112" spans="1:18" ht="21">
      <c r="A112" s="775"/>
      <c r="B112" s="775"/>
      <c r="C112" s="204"/>
      <c r="D112" s="193"/>
      <c r="E112" s="193"/>
      <c r="F112" s="193"/>
      <c r="G112" s="200" t="s">
        <v>379</v>
      </c>
      <c r="H112" s="420">
        <f t="shared" si="7"/>
        <v>11.25</v>
      </c>
      <c r="I112" s="421">
        <v>150</v>
      </c>
      <c r="J112" s="193">
        <v>9.75</v>
      </c>
      <c r="K112" s="193"/>
      <c r="L112" s="193"/>
      <c r="M112" s="421">
        <v>1</v>
      </c>
      <c r="N112" s="421">
        <v>1</v>
      </c>
      <c r="O112" s="421">
        <v>1</v>
      </c>
      <c r="P112" s="420">
        <f t="shared" si="8"/>
        <v>11.25</v>
      </c>
      <c r="Q112" s="421">
        <v>150</v>
      </c>
      <c r="R112" s="420">
        <f t="shared" si="9"/>
        <v>9.75</v>
      </c>
    </row>
    <row r="113" spans="1:18" ht="13.5">
      <c r="A113" s="775"/>
      <c r="B113" s="775"/>
      <c r="C113" s="204"/>
      <c r="D113" s="193"/>
      <c r="E113" s="193"/>
      <c r="F113" s="193"/>
      <c r="G113" s="200" t="s">
        <v>380</v>
      </c>
      <c r="H113" s="420">
        <f t="shared" si="7"/>
        <v>13.95</v>
      </c>
      <c r="I113" s="421">
        <v>186</v>
      </c>
      <c r="J113" s="193">
        <v>12.09</v>
      </c>
      <c r="K113" s="193"/>
      <c r="L113" s="193"/>
      <c r="M113" s="421">
        <v>1</v>
      </c>
      <c r="N113" s="421">
        <v>1</v>
      </c>
      <c r="O113" s="421">
        <v>1</v>
      </c>
      <c r="P113" s="420">
        <f t="shared" si="8"/>
        <v>13.95</v>
      </c>
      <c r="Q113" s="421">
        <v>186</v>
      </c>
      <c r="R113" s="420">
        <f t="shared" si="9"/>
        <v>12.09</v>
      </c>
    </row>
    <row r="114" spans="1:18" ht="21">
      <c r="A114" s="775"/>
      <c r="B114" s="775"/>
      <c r="C114" s="204"/>
      <c r="D114" s="193"/>
      <c r="E114" s="193"/>
      <c r="F114" s="193"/>
      <c r="G114" s="200" t="s">
        <v>381</v>
      </c>
      <c r="H114" s="420">
        <f t="shared" si="7"/>
        <v>19.875</v>
      </c>
      <c r="I114" s="421">
        <v>265</v>
      </c>
      <c r="J114" s="193">
        <v>17.225</v>
      </c>
      <c r="K114" s="193"/>
      <c r="L114" s="193"/>
      <c r="M114" s="421">
        <v>1</v>
      </c>
      <c r="N114" s="421">
        <v>1</v>
      </c>
      <c r="O114" s="421">
        <v>1</v>
      </c>
      <c r="P114" s="420">
        <f t="shared" si="8"/>
        <v>19.875</v>
      </c>
      <c r="Q114" s="421">
        <v>265</v>
      </c>
      <c r="R114" s="420">
        <f t="shared" si="9"/>
        <v>17.225</v>
      </c>
    </row>
    <row r="115" spans="1:18" ht="21">
      <c r="A115" s="775"/>
      <c r="B115" s="775"/>
      <c r="C115" s="204"/>
      <c r="D115" s="193"/>
      <c r="E115" s="193"/>
      <c r="F115" s="193"/>
      <c r="G115" s="200" t="s">
        <v>382</v>
      </c>
      <c r="H115" s="420">
        <f t="shared" si="7"/>
        <v>3.225</v>
      </c>
      <c r="I115" s="421">
        <v>43</v>
      </c>
      <c r="J115" s="193">
        <v>2.795</v>
      </c>
      <c r="K115" s="193"/>
      <c r="L115" s="193"/>
      <c r="M115" s="421">
        <v>1</v>
      </c>
      <c r="N115" s="421">
        <v>1</v>
      </c>
      <c r="O115" s="421">
        <v>1</v>
      </c>
      <c r="P115" s="420">
        <f t="shared" si="8"/>
        <v>3.225</v>
      </c>
      <c r="Q115" s="421">
        <v>43</v>
      </c>
      <c r="R115" s="420">
        <f t="shared" si="9"/>
        <v>2.795</v>
      </c>
    </row>
    <row r="116" spans="1:18" ht="21">
      <c r="A116" s="775"/>
      <c r="B116" s="775"/>
      <c r="C116" s="204"/>
      <c r="D116" s="193"/>
      <c r="E116" s="193"/>
      <c r="F116" s="193"/>
      <c r="G116" s="200" t="s">
        <v>383</v>
      </c>
      <c r="H116" s="420">
        <f t="shared" si="7"/>
        <v>5.925</v>
      </c>
      <c r="I116" s="421">
        <v>79</v>
      </c>
      <c r="J116" s="193">
        <v>5.135</v>
      </c>
      <c r="K116" s="193"/>
      <c r="L116" s="193"/>
      <c r="M116" s="421">
        <v>1</v>
      </c>
      <c r="N116" s="421">
        <v>1</v>
      </c>
      <c r="O116" s="421">
        <v>1</v>
      </c>
      <c r="P116" s="420">
        <f t="shared" si="8"/>
        <v>5.925</v>
      </c>
      <c r="Q116" s="421">
        <v>79</v>
      </c>
      <c r="R116" s="420">
        <f t="shared" si="9"/>
        <v>5.135</v>
      </c>
    </row>
    <row r="117" spans="1:18" ht="21">
      <c r="A117" s="775"/>
      <c r="B117" s="775"/>
      <c r="C117" s="204"/>
      <c r="D117" s="193"/>
      <c r="E117" s="193"/>
      <c r="F117" s="193"/>
      <c r="G117" s="200" t="s">
        <v>384</v>
      </c>
      <c r="H117" s="420">
        <f t="shared" si="7"/>
        <v>9.225</v>
      </c>
      <c r="I117" s="421">
        <v>123</v>
      </c>
      <c r="J117" s="193">
        <v>7.995</v>
      </c>
      <c r="K117" s="193"/>
      <c r="L117" s="193"/>
      <c r="M117" s="421">
        <v>1</v>
      </c>
      <c r="N117" s="421">
        <v>1</v>
      </c>
      <c r="O117" s="421">
        <v>1</v>
      </c>
      <c r="P117" s="420">
        <f t="shared" si="8"/>
        <v>9.225</v>
      </c>
      <c r="Q117" s="421">
        <v>123</v>
      </c>
      <c r="R117" s="420">
        <f t="shared" si="9"/>
        <v>7.995</v>
      </c>
    </row>
    <row r="118" spans="1:18" ht="21">
      <c r="A118" s="775"/>
      <c r="B118" s="775"/>
      <c r="C118" s="204"/>
      <c r="D118" s="193"/>
      <c r="E118" s="193"/>
      <c r="F118" s="193"/>
      <c r="G118" s="200" t="s">
        <v>385</v>
      </c>
      <c r="H118" s="420">
        <f t="shared" si="7"/>
        <v>13.875</v>
      </c>
      <c r="I118" s="421">
        <v>185</v>
      </c>
      <c r="J118" s="193">
        <v>12.025</v>
      </c>
      <c r="K118" s="193"/>
      <c r="L118" s="193"/>
      <c r="M118" s="421">
        <v>1</v>
      </c>
      <c r="N118" s="421">
        <v>1</v>
      </c>
      <c r="O118" s="421">
        <v>1</v>
      </c>
      <c r="P118" s="420">
        <f t="shared" si="8"/>
        <v>13.875</v>
      </c>
      <c r="Q118" s="421">
        <v>185</v>
      </c>
      <c r="R118" s="420">
        <f t="shared" si="9"/>
        <v>12.025</v>
      </c>
    </row>
    <row r="119" spans="1:18" ht="21">
      <c r="A119" s="775"/>
      <c r="B119" s="775"/>
      <c r="C119" s="204"/>
      <c r="D119" s="193"/>
      <c r="E119" s="193"/>
      <c r="F119" s="193"/>
      <c r="G119" s="200" t="s">
        <v>386</v>
      </c>
      <c r="H119" s="420">
        <f t="shared" si="7"/>
        <v>11.1</v>
      </c>
      <c r="I119" s="421">
        <v>148</v>
      </c>
      <c r="J119" s="193">
        <v>9.62</v>
      </c>
      <c r="K119" s="193"/>
      <c r="L119" s="193"/>
      <c r="M119" s="421">
        <v>1</v>
      </c>
      <c r="N119" s="421">
        <v>1</v>
      </c>
      <c r="O119" s="421">
        <v>1</v>
      </c>
      <c r="P119" s="420">
        <f t="shared" si="8"/>
        <v>11.1</v>
      </c>
      <c r="Q119" s="421">
        <v>148</v>
      </c>
      <c r="R119" s="420">
        <f t="shared" si="9"/>
        <v>9.620000000000001</v>
      </c>
    </row>
    <row r="120" spans="1:18" ht="21">
      <c r="A120" s="775"/>
      <c r="B120" s="775"/>
      <c r="C120" s="204"/>
      <c r="D120" s="193"/>
      <c r="E120" s="193"/>
      <c r="F120" s="193"/>
      <c r="G120" s="200" t="s">
        <v>387</v>
      </c>
      <c r="H120" s="420">
        <f t="shared" si="7"/>
        <v>4.2</v>
      </c>
      <c r="I120" s="421">
        <v>56</v>
      </c>
      <c r="J120" s="193">
        <v>3.64</v>
      </c>
      <c r="K120" s="193"/>
      <c r="L120" s="193"/>
      <c r="M120" s="421">
        <v>1</v>
      </c>
      <c r="N120" s="421">
        <v>1</v>
      </c>
      <c r="O120" s="421">
        <v>1</v>
      </c>
      <c r="P120" s="420">
        <f t="shared" si="8"/>
        <v>4.2</v>
      </c>
      <c r="Q120" s="421">
        <v>56</v>
      </c>
      <c r="R120" s="420">
        <f t="shared" si="9"/>
        <v>3.64</v>
      </c>
    </row>
    <row r="121" spans="1:18" ht="21">
      <c r="A121" s="775"/>
      <c r="B121" s="775"/>
      <c r="C121" s="204"/>
      <c r="D121" s="193"/>
      <c r="E121" s="193"/>
      <c r="F121" s="193"/>
      <c r="G121" s="200" t="s">
        <v>388</v>
      </c>
      <c r="H121" s="420">
        <f t="shared" si="7"/>
        <v>10.5</v>
      </c>
      <c r="I121" s="421">
        <v>140</v>
      </c>
      <c r="J121" s="193">
        <v>9.1</v>
      </c>
      <c r="K121" s="193"/>
      <c r="L121" s="193"/>
      <c r="M121" s="421">
        <v>1</v>
      </c>
      <c r="N121" s="421">
        <v>1</v>
      </c>
      <c r="O121" s="421">
        <v>1</v>
      </c>
      <c r="P121" s="420">
        <f t="shared" si="8"/>
        <v>10.5</v>
      </c>
      <c r="Q121" s="421">
        <v>140</v>
      </c>
      <c r="R121" s="420">
        <f t="shared" si="9"/>
        <v>9.1</v>
      </c>
    </row>
    <row r="122" spans="1:18" ht="21">
      <c r="A122" s="775"/>
      <c r="B122" s="775"/>
      <c r="C122" s="204"/>
      <c r="D122" s="193"/>
      <c r="E122" s="193"/>
      <c r="F122" s="193"/>
      <c r="G122" s="200" t="s">
        <v>389</v>
      </c>
      <c r="H122" s="420">
        <f t="shared" si="7"/>
        <v>18.675</v>
      </c>
      <c r="I122" s="421">
        <v>249</v>
      </c>
      <c r="J122" s="193">
        <v>16.185</v>
      </c>
      <c r="K122" s="193"/>
      <c r="L122" s="193"/>
      <c r="M122" s="421">
        <v>1</v>
      </c>
      <c r="N122" s="421">
        <v>1</v>
      </c>
      <c r="O122" s="421">
        <v>1</v>
      </c>
      <c r="P122" s="420">
        <f t="shared" si="8"/>
        <v>18.675</v>
      </c>
      <c r="Q122" s="421">
        <v>249</v>
      </c>
      <c r="R122" s="420">
        <f t="shared" si="9"/>
        <v>16.185000000000002</v>
      </c>
    </row>
    <row r="123" spans="1:18" ht="21">
      <c r="A123" s="775"/>
      <c r="B123" s="775"/>
      <c r="C123" s="204"/>
      <c r="D123" s="193"/>
      <c r="E123" s="193"/>
      <c r="F123" s="193"/>
      <c r="G123" s="200" t="s">
        <v>390</v>
      </c>
      <c r="H123" s="420">
        <f t="shared" si="7"/>
        <v>13.424999999999999</v>
      </c>
      <c r="I123" s="421">
        <v>179</v>
      </c>
      <c r="J123" s="193">
        <v>11.635</v>
      </c>
      <c r="K123" s="193"/>
      <c r="L123" s="193"/>
      <c r="M123" s="421">
        <v>1</v>
      </c>
      <c r="N123" s="421">
        <v>1</v>
      </c>
      <c r="O123" s="421">
        <v>1</v>
      </c>
      <c r="P123" s="420">
        <f t="shared" si="8"/>
        <v>13.424999999999999</v>
      </c>
      <c r="Q123" s="421">
        <v>179</v>
      </c>
      <c r="R123" s="420">
        <f t="shared" si="9"/>
        <v>11.635</v>
      </c>
    </row>
    <row r="124" spans="1:18" ht="21">
      <c r="A124" s="775"/>
      <c r="B124" s="775"/>
      <c r="C124" s="204"/>
      <c r="D124" s="193"/>
      <c r="E124" s="193"/>
      <c r="F124" s="193"/>
      <c r="G124" s="200" t="s">
        <v>391</v>
      </c>
      <c r="H124" s="420">
        <f t="shared" si="7"/>
        <v>8.775</v>
      </c>
      <c r="I124" s="421">
        <v>117</v>
      </c>
      <c r="J124" s="193">
        <v>7.605</v>
      </c>
      <c r="K124" s="193"/>
      <c r="L124" s="193"/>
      <c r="M124" s="421">
        <v>1</v>
      </c>
      <c r="N124" s="421">
        <v>1</v>
      </c>
      <c r="O124" s="421">
        <v>1</v>
      </c>
      <c r="P124" s="420">
        <f t="shared" si="8"/>
        <v>8.775</v>
      </c>
      <c r="Q124" s="421">
        <v>117</v>
      </c>
      <c r="R124" s="420">
        <f t="shared" si="9"/>
        <v>7.605</v>
      </c>
    </row>
    <row r="125" spans="1:18" ht="21">
      <c r="A125" s="775"/>
      <c r="B125" s="775"/>
      <c r="C125" s="204"/>
      <c r="D125" s="193"/>
      <c r="E125" s="193"/>
      <c r="F125" s="193"/>
      <c r="G125" s="200" t="s">
        <v>392</v>
      </c>
      <c r="H125" s="420">
        <f t="shared" si="7"/>
        <v>27.974999999999998</v>
      </c>
      <c r="I125" s="421">
        <v>373</v>
      </c>
      <c r="J125" s="193">
        <v>24.245</v>
      </c>
      <c r="K125" s="193"/>
      <c r="L125" s="193"/>
      <c r="M125" s="421">
        <v>1</v>
      </c>
      <c r="N125" s="421">
        <v>1</v>
      </c>
      <c r="O125" s="421">
        <v>1</v>
      </c>
      <c r="P125" s="420">
        <f t="shared" si="8"/>
        <v>27.974999999999998</v>
      </c>
      <c r="Q125" s="421">
        <v>373</v>
      </c>
      <c r="R125" s="420">
        <f t="shared" si="9"/>
        <v>24.245</v>
      </c>
    </row>
    <row r="126" spans="1:18" ht="21">
      <c r="A126" s="775"/>
      <c r="B126" s="775"/>
      <c r="C126" s="204"/>
      <c r="D126" s="193"/>
      <c r="E126" s="193"/>
      <c r="F126" s="193"/>
      <c r="G126" s="200" t="s">
        <v>393</v>
      </c>
      <c r="H126" s="420">
        <f t="shared" si="7"/>
        <v>2.625</v>
      </c>
      <c r="I126" s="421">
        <v>35</v>
      </c>
      <c r="J126" s="193">
        <v>2.275</v>
      </c>
      <c r="K126" s="193"/>
      <c r="L126" s="193"/>
      <c r="M126" s="421">
        <v>1</v>
      </c>
      <c r="N126" s="421">
        <v>1</v>
      </c>
      <c r="O126" s="421">
        <v>1</v>
      </c>
      <c r="P126" s="420">
        <f t="shared" si="8"/>
        <v>2.625</v>
      </c>
      <c r="Q126" s="421">
        <v>35</v>
      </c>
      <c r="R126" s="420">
        <f t="shared" si="9"/>
        <v>2.275</v>
      </c>
    </row>
    <row r="127" spans="1:18" ht="21">
      <c r="A127" s="775"/>
      <c r="B127" s="775"/>
      <c r="C127" s="204"/>
      <c r="D127" s="193"/>
      <c r="E127" s="193"/>
      <c r="F127" s="193"/>
      <c r="G127" s="200" t="s">
        <v>394</v>
      </c>
      <c r="H127" s="420">
        <f t="shared" si="7"/>
        <v>3.5999999999999996</v>
      </c>
      <c r="I127" s="421">
        <v>48</v>
      </c>
      <c r="J127" s="193">
        <v>3.12</v>
      </c>
      <c r="K127" s="193"/>
      <c r="L127" s="193"/>
      <c r="M127" s="421">
        <v>1</v>
      </c>
      <c r="N127" s="421">
        <v>1</v>
      </c>
      <c r="O127" s="421">
        <v>1</v>
      </c>
      <c r="P127" s="420">
        <f t="shared" si="8"/>
        <v>3.5999999999999996</v>
      </c>
      <c r="Q127" s="421">
        <v>48</v>
      </c>
      <c r="R127" s="420">
        <f t="shared" si="9"/>
        <v>3.12</v>
      </c>
    </row>
    <row r="128" spans="1:18" ht="21">
      <c r="A128" s="775"/>
      <c r="B128" s="775"/>
      <c r="C128" s="204"/>
      <c r="D128" s="193"/>
      <c r="E128" s="193"/>
      <c r="F128" s="193"/>
      <c r="G128" s="200" t="s">
        <v>395</v>
      </c>
      <c r="H128" s="420">
        <f t="shared" si="7"/>
        <v>23.7</v>
      </c>
      <c r="I128" s="421">
        <v>316</v>
      </c>
      <c r="J128" s="193">
        <v>20.54</v>
      </c>
      <c r="K128" s="193"/>
      <c r="L128" s="193"/>
      <c r="M128" s="421">
        <v>1</v>
      </c>
      <c r="N128" s="421">
        <v>1</v>
      </c>
      <c r="O128" s="421">
        <v>1</v>
      </c>
      <c r="P128" s="420">
        <f t="shared" si="8"/>
        <v>23.7</v>
      </c>
      <c r="Q128" s="421">
        <v>316</v>
      </c>
      <c r="R128" s="420">
        <f t="shared" si="9"/>
        <v>20.54</v>
      </c>
    </row>
    <row r="129" spans="1:18" ht="13.5">
      <c r="A129" s="775"/>
      <c r="B129" s="775"/>
      <c r="C129" s="204"/>
      <c r="D129" s="193"/>
      <c r="E129" s="193"/>
      <c r="F129" s="193"/>
      <c r="G129" s="200" t="s">
        <v>396</v>
      </c>
      <c r="H129" s="420">
        <f t="shared" si="7"/>
        <v>9.15</v>
      </c>
      <c r="I129" s="421">
        <v>122</v>
      </c>
      <c r="J129" s="193">
        <v>7.93</v>
      </c>
      <c r="K129" s="193"/>
      <c r="L129" s="193"/>
      <c r="M129" s="421">
        <v>1</v>
      </c>
      <c r="N129" s="421">
        <v>1</v>
      </c>
      <c r="O129" s="421">
        <v>1</v>
      </c>
      <c r="P129" s="420">
        <f t="shared" si="8"/>
        <v>9.15</v>
      </c>
      <c r="Q129" s="421">
        <v>122</v>
      </c>
      <c r="R129" s="420">
        <f t="shared" si="9"/>
        <v>7.930000000000001</v>
      </c>
    </row>
    <row r="130" spans="1:18" ht="21">
      <c r="A130" s="775"/>
      <c r="B130" s="775"/>
      <c r="C130" s="204"/>
      <c r="D130" s="193"/>
      <c r="E130" s="193"/>
      <c r="F130" s="193"/>
      <c r="G130" s="200" t="s">
        <v>397</v>
      </c>
      <c r="H130" s="420">
        <f t="shared" si="7"/>
        <v>5.85</v>
      </c>
      <c r="I130" s="421">
        <v>78</v>
      </c>
      <c r="J130" s="193">
        <v>5.07</v>
      </c>
      <c r="K130" s="193"/>
      <c r="L130" s="193"/>
      <c r="M130" s="421">
        <v>1</v>
      </c>
      <c r="N130" s="421">
        <v>1</v>
      </c>
      <c r="O130" s="421">
        <v>1</v>
      </c>
      <c r="P130" s="420">
        <f t="shared" si="8"/>
        <v>5.85</v>
      </c>
      <c r="Q130" s="421">
        <v>78</v>
      </c>
      <c r="R130" s="420">
        <f t="shared" si="9"/>
        <v>5.07</v>
      </c>
    </row>
    <row r="131" spans="1:18" ht="13.5">
      <c r="A131" s="775"/>
      <c r="B131" s="775"/>
      <c r="C131" s="204"/>
      <c r="D131" s="193"/>
      <c r="E131" s="193"/>
      <c r="F131" s="193"/>
      <c r="G131" s="200" t="s">
        <v>398</v>
      </c>
      <c r="H131" s="420">
        <f t="shared" si="7"/>
        <v>9.45</v>
      </c>
      <c r="I131" s="421">
        <v>126</v>
      </c>
      <c r="J131" s="193">
        <v>8.19</v>
      </c>
      <c r="K131" s="193"/>
      <c r="L131" s="193"/>
      <c r="M131" s="421">
        <v>1</v>
      </c>
      <c r="N131" s="421">
        <v>1</v>
      </c>
      <c r="O131" s="421">
        <v>1</v>
      </c>
      <c r="P131" s="420">
        <f t="shared" si="8"/>
        <v>9.45</v>
      </c>
      <c r="Q131" s="421">
        <v>126</v>
      </c>
      <c r="R131" s="420">
        <f t="shared" si="9"/>
        <v>8.19</v>
      </c>
    </row>
    <row r="132" spans="1:18" ht="13.5">
      <c r="A132" s="775"/>
      <c r="B132" s="775"/>
      <c r="C132" s="204"/>
      <c r="D132" s="193"/>
      <c r="E132" s="193"/>
      <c r="F132" s="193"/>
      <c r="G132" s="200" t="s">
        <v>399</v>
      </c>
      <c r="H132" s="420">
        <f t="shared" si="7"/>
        <v>18.45</v>
      </c>
      <c r="I132" s="421">
        <v>246</v>
      </c>
      <c r="J132" s="193">
        <v>15.99</v>
      </c>
      <c r="K132" s="193"/>
      <c r="L132" s="193"/>
      <c r="M132" s="421">
        <v>1</v>
      </c>
      <c r="N132" s="421">
        <v>1</v>
      </c>
      <c r="O132" s="421">
        <v>1</v>
      </c>
      <c r="P132" s="420">
        <f t="shared" si="8"/>
        <v>18.45</v>
      </c>
      <c r="Q132" s="421">
        <v>246</v>
      </c>
      <c r="R132" s="420">
        <f t="shared" si="9"/>
        <v>15.99</v>
      </c>
    </row>
    <row r="133" spans="1:18" ht="21">
      <c r="A133" s="775"/>
      <c r="B133" s="775"/>
      <c r="C133" s="204"/>
      <c r="D133" s="193"/>
      <c r="E133" s="193"/>
      <c r="F133" s="193"/>
      <c r="G133" s="200" t="s">
        <v>400</v>
      </c>
      <c r="H133" s="420">
        <f t="shared" si="7"/>
        <v>5.85</v>
      </c>
      <c r="I133" s="421">
        <v>78</v>
      </c>
      <c r="J133" s="193">
        <v>5.07</v>
      </c>
      <c r="K133" s="193"/>
      <c r="L133" s="193"/>
      <c r="M133" s="421">
        <v>1</v>
      </c>
      <c r="N133" s="421">
        <v>1</v>
      </c>
      <c r="O133" s="421">
        <v>1</v>
      </c>
      <c r="P133" s="420">
        <f t="shared" si="8"/>
        <v>5.85</v>
      </c>
      <c r="Q133" s="421">
        <v>78</v>
      </c>
      <c r="R133" s="420">
        <f t="shared" si="9"/>
        <v>5.07</v>
      </c>
    </row>
    <row r="134" spans="1:18" ht="21">
      <c r="A134" s="775"/>
      <c r="B134" s="775"/>
      <c r="C134" s="204"/>
      <c r="D134" s="193"/>
      <c r="E134" s="193"/>
      <c r="F134" s="193"/>
      <c r="G134" s="200" t="s">
        <v>401</v>
      </c>
      <c r="H134" s="420">
        <f t="shared" si="7"/>
        <v>18.45</v>
      </c>
      <c r="I134" s="421">
        <v>246</v>
      </c>
      <c r="J134" s="193">
        <v>15.99</v>
      </c>
      <c r="K134" s="193"/>
      <c r="L134" s="193"/>
      <c r="M134" s="421">
        <v>1</v>
      </c>
      <c r="N134" s="421">
        <v>1</v>
      </c>
      <c r="O134" s="421">
        <v>1</v>
      </c>
      <c r="P134" s="420">
        <f t="shared" si="8"/>
        <v>18.45</v>
      </c>
      <c r="Q134" s="421">
        <v>246</v>
      </c>
      <c r="R134" s="420">
        <f t="shared" si="9"/>
        <v>15.99</v>
      </c>
    </row>
    <row r="135" spans="1:18" ht="21">
      <c r="A135" s="775"/>
      <c r="B135" s="775"/>
      <c r="C135" s="204"/>
      <c r="D135" s="193"/>
      <c r="E135" s="193"/>
      <c r="F135" s="193"/>
      <c r="G135" s="200" t="s">
        <v>402</v>
      </c>
      <c r="H135" s="420">
        <f t="shared" si="7"/>
        <v>6.675</v>
      </c>
      <c r="I135" s="421">
        <v>89</v>
      </c>
      <c r="J135" s="193">
        <v>5.785</v>
      </c>
      <c r="K135" s="193"/>
      <c r="L135" s="193"/>
      <c r="M135" s="421">
        <v>1</v>
      </c>
      <c r="N135" s="421">
        <v>1</v>
      </c>
      <c r="O135" s="421">
        <v>1</v>
      </c>
      <c r="P135" s="420">
        <f t="shared" si="8"/>
        <v>6.675</v>
      </c>
      <c r="Q135" s="421">
        <v>89</v>
      </c>
      <c r="R135" s="420">
        <f t="shared" si="9"/>
        <v>5.785</v>
      </c>
    </row>
    <row r="136" spans="1:18" ht="21">
      <c r="A136" s="775"/>
      <c r="B136" s="775"/>
      <c r="C136" s="204"/>
      <c r="D136" s="193"/>
      <c r="E136" s="193"/>
      <c r="F136" s="193"/>
      <c r="G136" s="200" t="s">
        <v>403</v>
      </c>
      <c r="H136" s="420">
        <f t="shared" si="7"/>
        <v>7.949999999999999</v>
      </c>
      <c r="I136" s="421">
        <v>106</v>
      </c>
      <c r="J136" s="193">
        <v>6.89</v>
      </c>
      <c r="K136" s="193"/>
      <c r="L136" s="193"/>
      <c r="M136" s="421">
        <v>1</v>
      </c>
      <c r="N136" s="421">
        <v>1</v>
      </c>
      <c r="O136" s="421">
        <v>1</v>
      </c>
      <c r="P136" s="420">
        <f t="shared" si="8"/>
        <v>7.949999999999999</v>
      </c>
      <c r="Q136" s="421">
        <v>106</v>
      </c>
      <c r="R136" s="420">
        <f t="shared" si="9"/>
        <v>6.890000000000001</v>
      </c>
    </row>
    <row r="137" spans="1:18" ht="21">
      <c r="A137" s="775"/>
      <c r="B137" s="775"/>
      <c r="C137" s="204"/>
      <c r="D137" s="193"/>
      <c r="E137" s="193"/>
      <c r="F137" s="193"/>
      <c r="G137" s="200" t="s">
        <v>404</v>
      </c>
      <c r="H137" s="420">
        <f t="shared" si="7"/>
        <v>14.399999999999999</v>
      </c>
      <c r="I137" s="421">
        <v>192</v>
      </c>
      <c r="J137" s="193">
        <v>12.48</v>
      </c>
      <c r="K137" s="193"/>
      <c r="L137" s="193"/>
      <c r="M137" s="421">
        <v>1</v>
      </c>
      <c r="N137" s="421">
        <v>1</v>
      </c>
      <c r="O137" s="421">
        <v>1</v>
      </c>
      <c r="P137" s="420">
        <f t="shared" si="8"/>
        <v>14.399999999999999</v>
      </c>
      <c r="Q137" s="421">
        <v>192</v>
      </c>
      <c r="R137" s="420">
        <f t="shared" si="9"/>
        <v>12.48</v>
      </c>
    </row>
    <row r="138" spans="1:18" ht="21">
      <c r="A138" s="775"/>
      <c r="B138" s="775"/>
      <c r="C138" s="204"/>
      <c r="D138" s="193"/>
      <c r="E138" s="193"/>
      <c r="F138" s="193"/>
      <c r="G138" s="200" t="s">
        <v>405</v>
      </c>
      <c r="H138" s="420">
        <f t="shared" si="7"/>
        <v>2.25</v>
      </c>
      <c r="I138" s="421">
        <v>30</v>
      </c>
      <c r="J138" s="193">
        <v>1.95</v>
      </c>
      <c r="K138" s="193"/>
      <c r="L138" s="193"/>
      <c r="M138" s="421">
        <v>1</v>
      </c>
      <c r="N138" s="421">
        <v>1</v>
      </c>
      <c r="O138" s="421">
        <v>1</v>
      </c>
      <c r="P138" s="420">
        <f t="shared" si="8"/>
        <v>2.25</v>
      </c>
      <c r="Q138" s="421">
        <v>30</v>
      </c>
      <c r="R138" s="420">
        <f t="shared" si="9"/>
        <v>1.9500000000000002</v>
      </c>
    </row>
    <row r="139" spans="1:18" ht="13.5">
      <c r="A139" s="775"/>
      <c r="B139" s="775"/>
      <c r="C139" s="204"/>
      <c r="D139" s="193"/>
      <c r="E139" s="193"/>
      <c r="F139" s="193"/>
      <c r="G139" s="200" t="s">
        <v>406</v>
      </c>
      <c r="H139" s="420">
        <f t="shared" si="7"/>
        <v>4.5</v>
      </c>
      <c r="I139" s="421">
        <v>60</v>
      </c>
      <c r="J139" s="193">
        <v>3.9</v>
      </c>
      <c r="K139" s="193"/>
      <c r="L139" s="193"/>
      <c r="M139" s="421">
        <v>1</v>
      </c>
      <c r="N139" s="421">
        <v>1</v>
      </c>
      <c r="O139" s="421">
        <v>1</v>
      </c>
      <c r="P139" s="420">
        <f t="shared" si="8"/>
        <v>4.5</v>
      </c>
      <c r="Q139" s="421">
        <v>60</v>
      </c>
      <c r="R139" s="420">
        <f t="shared" si="9"/>
        <v>3.9000000000000004</v>
      </c>
    </row>
    <row r="140" spans="1:18" ht="13.5">
      <c r="A140" s="775"/>
      <c r="B140" s="775"/>
      <c r="C140" s="204"/>
      <c r="D140" s="193"/>
      <c r="E140" s="193"/>
      <c r="F140" s="193"/>
      <c r="G140" s="200" t="s">
        <v>407</v>
      </c>
      <c r="H140" s="420">
        <f t="shared" si="7"/>
        <v>2.925</v>
      </c>
      <c r="I140" s="421">
        <v>39</v>
      </c>
      <c r="J140" s="193">
        <v>2.535</v>
      </c>
      <c r="K140" s="193"/>
      <c r="L140" s="193"/>
      <c r="M140" s="421">
        <v>1</v>
      </c>
      <c r="N140" s="421">
        <v>1</v>
      </c>
      <c r="O140" s="421">
        <v>1</v>
      </c>
      <c r="P140" s="420">
        <f t="shared" si="8"/>
        <v>2.925</v>
      </c>
      <c r="Q140" s="421">
        <v>39</v>
      </c>
      <c r="R140" s="420">
        <f t="shared" si="9"/>
        <v>2.535</v>
      </c>
    </row>
    <row r="141" spans="1:18" ht="21">
      <c r="A141" s="775"/>
      <c r="B141" s="775"/>
      <c r="C141" s="204"/>
      <c r="D141" s="193"/>
      <c r="E141" s="193"/>
      <c r="F141" s="193"/>
      <c r="G141" s="200" t="s">
        <v>408</v>
      </c>
      <c r="H141" s="420">
        <f t="shared" si="7"/>
        <v>5.3999999999999995</v>
      </c>
      <c r="I141" s="421">
        <v>72</v>
      </c>
      <c r="J141" s="193">
        <v>4.68</v>
      </c>
      <c r="K141" s="193"/>
      <c r="L141" s="193"/>
      <c r="M141" s="421">
        <v>1</v>
      </c>
      <c r="N141" s="421">
        <v>1</v>
      </c>
      <c r="O141" s="421">
        <v>1</v>
      </c>
      <c r="P141" s="420">
        <f t="shared" si="8"/>
        <v>5.3999999999999995</v>
      </c>
      <c r="Q141" s="421">
        <v>72</v>
      </c>
      <c r="R141" s="420">
        <f t="shared" si="9"/>
        <v>4.68</v>
      </c>
    </row>
    <row r="142" spans="1:18" ht="21">
      <c r="A142" s="775"/>
      <c r="B142" s="775"/>
      <c r="C142" s="204"/>
      <c r="D142" s="193"/>
      <c r="E142" s="193"/>
      <c r="F142" s="193"/>
      <c r="G142" s="200" t="s">
        <v>409</v>
      </c>
      <c r="H142" s="420">
        <f t="shared" si="7"/>
        <v>7.6499999999999995</v>
      </c>
      <c r="I142" s="421">
        <v>102</v>
      </c>
      <c r="J142" s="193">
        <v>6.63</v>
      </c>
      <c r="K142" s="193"/>
      <c r="L142" s="193"/>
      <c r="M142" s="421">
        <v>1</v>
      </c>
      <c r="N142" s="421">
        <v>1</v>
      </c>
      <c r="O142" s="421">
        <v>1</v>
      </c>
      <c r="P142" s="420">
        <f t="shared" si="8"/>
        <v>7.6499999999999995</v>
      </c>
      <c r="Q142" s="421">
        <v>102</v>
      </c>
      <c r="R142" s="420">
        <f t="shared" si="9"/>
        <v>6.63</v>
      </c>
    </row>
    <row r="143" spans="1:18" ht="21">
      <c r="A143" s="775"/>
      <c r="B143" s="775"/>
      <c r="C143" s="204"/>
      <c r="D143" s="193"/>
      <c r="E143" s="193"/>
      <c r="F143" s="193"/>
      <c r="G143" s="200" t="s">
        <v>410</v>
      </c>
      <c r="H143" s="420">
        <f t="shared" si="7"/>
        <v>3.675</v>
      </c>
      <c r="I143" s="421">
        <v>49</v>
      </c>
      <c r="J143" s="193">
        <v>3.185</v>
      </c>
      <c r="K143" s="193"/>
      <c r="L143" s="193"/>
      <c r="M143" s="421">
        <v>1</v>
      </c>
      <c r="N143" s="421">
        <v>1</v>
      </c>
      <c r="O143" s="421">
        <v>1</v>
      </c>
      <c r="P143" s="420">
        <f t="shared" si="8"/>
        <v>3.675</v>
      </c>
      <c r="Q143" s="421">
        <v>49</v>
      </c>
      <c r="R143" s="420">
        <f t="shared" si="9"/>
        <v>3.185</v>
      </c>
    </row>
    <row r="144" spans="1:18" ht="21">
      <c r="A144" s="775"/>
      <c r="B144" s="775"/>
      <c r="C144" s="204"/>
      <c r="D144" s="193"/>
      <c r="E144" s="193"/>
      <c r="F144" s="193"/>
      <c r="G144" s="200" t="s">
        <v>411</v>
      </c>
      <c r="H144" s="420">
        <f t="shared" si="7"/>
        <v>8.625</v>
      </c>
      <c r="I144" s="421">
        <v>115</v>
      </c>
      <c r="J144" s="193">
        <v>7.475</v>
      </c>
      <c r="K144" s="193"/>
      <c r="L144" s="193"/>
      <c r="M144" s="421">
        <v>1</v>
      </c>
      <c r="N144" s="421">
        <v>1</v>
      </c>
      <c r="O144" s="421">
        <v>1</v>
      </c>
      <c r="P144" s="420">
        <f t="shared" si="8"/>
        <v>8.625</v>
      </c>
      <c r="Q144" s="421">
        <v>115</v>
      </c>
      <c r="R144" s="420">
        <f t="shared" si="9"/>
        <v>7.4750000000000005</v>
      </c>
    </row>
    <row r="145" spans="1:18" ht="21">
      <c r="A145" s="775"/>
      <c r="B145" s="775"/>
      <c r="C145" s="204"/>
      <c r="D145" s="193"/>
      <c r="E145" s="193"/>
      <c r="F145" s="193"/>
      <c r="G145" s="200" t="s">
        <v>412</v>
      </c>
      <c r="H145" s="420">
        <f t="shared" si="7"/>
        <v>6.6</v>
      </c>
      <c r="I145" s="421">
        <v>88</v>
      </c>
      <c r="J145" s="193">
        <v>5.72</v>
      </c>
      <c r="K145" s="193"/>
      <c r="L145" s="193"/>
      <c r="M145" s="421">
        <v>1</v>
      </c>
      <c r="N145" s="421">
        <v>1</v>
      </c>
      <c r="O145" s="421">
        <v>1</v>
      </c>
      <c r="P145" s="420">
        <f t="shared" si="8"/>
        <v>6.6</v>
      </c>
      <c r="Q145" s="421">
        <v>88</v>
      </c>
      <c r="R145" s="420">
        <f t="shared" si="9"/>
        <v>5.720000000000001</v>
      </c>
    </row>
    <row r="146" spans="1:18" ht="13.5">
      <c r="A146" s="804" t="s">
        <v>413</v>
      </c>
      <c r="B146" s="805"/>
      <c r="C146" s="422"/>
      <c r="D146" s="376"/>
      <c r="E146" s="376"/>
      <c r="F146" s="376"/>
      <c r="G146" s="376">
        <v>9</v>
      </c>
      <c r="H146" s="376">
        <f>H147+H148+H149+H150+H151+H152+H153+H154+H155</f>
        <v>112.97000000000001</v>
      </c>
      <c r="I146" s="376">
        <f>I147+I148+I149+I150+I151+I152+I153+I154+I155</f>
        <v>1506</v>
      </c>
      <c r="J146" s="376">
        <f>J147+J148+J149+J150+J151+J152+J153+J154+J155</f>
        <v>79.87</v>
      </c>
      <c r="K146" s="376">
        <f>K147+K148+K149+K150+K151+K152+K153+K154+K155</f>
        <v>9</v>
      </c>
      <c r="L146" s="376"/>
      <c r="M146" s="376"/>
      <c r="N146" s="376">
        <f>N147+N148+N149+N150+N151+N152+N153+N154+N155</f>
        <v>9</v>
      </c>
      <c r="O146" s="376">
        <f>O147+O148+O149+O150+O151+O152+O153+O154+O155</f>
        <v>9</v>
      </c>
      <c r="P146" s="376">
        <f>P147+P148+P149+P150+P151+P152+P153+P154+P155</f>
        <v>112.97000000000001</v>
      </c>
      <c r="Q146" s="376">
        <f>Q147+Q148+Q149+Q150+Q151+Q152+Q153+Q154+Q155</f>
        <v>1506</v>
      </c>
      <c r="R146" s="376">
        <f>R147+R148+R149+R150+R151+R152+R153+R154+R155</f>
        <v>79.87</v>
      </c>
    </row>
    <row r="147" spans="1:18" ht="13.5">
      <c r="A147" s="765" t="s">
        <v>2109</v>
      </c>
      <c r="B147" s="765" t="s">
        <v>414</v>
      </c>
      <c r="C147" s="204"/>
      <c r="D147" s="193"/>
      <c r="E147" s="193"/>
      <c r="F147" s="193"/>
      <c r="G147" s="192" t="s">
        <v>415</v>
      </c>
      <c r="H147" s="192">
        <v>11.33</v>
      </c>
      <c r="I147" s="193">
        <v>151</v>
      </c>
      <c r="J147" s="192">
        <v>8.05</v>
      </c>
      <c r="K147" s="193">
        <v>1</v>
      </c>
      <c r="L147" s="193"/>
      <c r="M147" s="193"/>
      <c r="N147" s="193">
        <v>1</v>
      </c>
      <c r="O147" s="193">
        <v>1</v>
      </c>
      <c r="P147" s="399">
        <f>D147+H147</f>
        <v>11.33</v>
      </c>
      <c r="Q147" s="193">
        <f>E147+I147</f>
        <v>151</v>
      </c>
      <c r="R147" s="193">
        <f>F147+J147</f>
        <v>8.05</v>
      </c>
    </row>
    <row r="148" spans="1:18" ht="13.5">
      <c r="A148" s="767"/>
      <c r="B148" s="767"/>
      <c r="C148" s="204"/>
      <c r="D148" s="193"/>
      <c r="E148" s="193"/>
      <c r="F148" s="193"/>
      <c r="G148" s="192" t="s">
        <v>416</v>
      </c>
      <c r="H148" s="192">
        <v>10.35</v>
      </c>
      <c r="I148" s="192">
        <v>138</v>
      </c>
      <c r="J148" s="192">
        <v>7.31</v>
      </c>
      <c r="K148" s="193">
        <v>1</v>
      </c>
      <c r="L148" s="192"/>
      <c r="M148" s="193"/>
      <c r="N148" s="193">
        <v>1</v>
      </c>
      <c r="O148" s="193">
        <v>1</v>
      </c>
      <c r="P148" s="399">
        <f aca="true" t="shared" si="10" ref="P148:R155">D148+H148</f>
        <v>10.35</v>
      </c>
      <c r="Q148" s="193">
        <f t="shared" si="10"/>
        <v>138</v>
      </c>
      <c r="R148" s="193">
        <f t="shared" si="10"/>
        <v>7.31</v>
      </c>
    </row>
    <row r="149" spans="1:18" ht="13.5">
      <c r="A149" s="767"/>
      <c r="B149" s="767"/>
      <c r="C149" s="204"/>
      <c r="D149" s="193"/>
      <c r="E149" s="193"/>
      <c r="F149" s="193"/>
      <c r="G149" s="192" t="s">
        <v>417</v>
      </c>
      <c r="H149" s="192">
        <v>9.23</v>
      </c>
      <c r="I149" s="192">
        <v>123</v>
      </c>
      <c r="J149" s="192">
        <v>6.52</v>
      </c>
      <c r="K149" s="193">
        <v>1</v>
      </c>
      <c r="L149" s="192"/>
      <c r="M149" s="193"/>
      <c r="N149" s="193">
        <v>1</v>
      </c>
      <c r="O149" s="193">
        <v>1</v>
      </c>
      <c r="P149" s="399">
        <f t="shared" si="10"/>
        <v>9.23</v>
      </c>
      <c r="Q149" s="193">
        <f t="shared" si="10"/>
        <v>123</v>
      </c>
      <c r="R149" s="193">
        <f t="shared" si="10"/>
        <v>6.52</v>
      </c>
    </row>
    <row r="150" spans="1:18" ht="13.5">
      <c r="A150" s="767"/>
      <c r="B150" s="767"/>
      <c r="C150" s="204"/>
      <c r="D150" s="193"/>
      <c r="E150" s="193"/>
      <c r="F150" s="193"/>
      <c r="G150" s="192" t="s">
        <v>418</v>
      </c>
      <c r="H150" s="192">
        <v>14.25</v>
      </c>
      <c r="I150" s="192">
        <v>190</v>
      </c>
      <c r="J150" s="192">
        <v>10.07</v>
      </c>
      <c r="K150" s="193">
        <v>1</v>
      </c>
      <c r="L150" s="192"/>
      <c r="M150" s="193"/>
      <c r="N150" s="193">
        <v>1</v>
      </c>
      <c r="O150" s="193">
        <v>1</v>
      </c>
      <c r="P150" s="399">
        <f t="shared" si="10"/>
        <v>14.25</v>
      </c>
      <c r="Q150" s="193">
        <f t="shared" si="10"/>
        <v>190</v>
      </c>
      <c r="R150" s="193">
        <f t="shared" si="10"/>
        <v>10.07</v>
      </c>
    </row>
    <row r="151" spans="1:18" ht="13.5">
      <c r="A151" s="767"/>
      <c r="B151" s="767"/>
      <c r="C151" s="204"/>
      <c r="D151" s="193"/>
      <c r="E151" s="193"/>
      <c r="F151" s="193"/>
      <c r="G151" s="192" t="s">
        <v>419</v>
      </c>
      <c r="H151" s="192">
        <v>18.9</v>
      </c>
      <c r="I151" s="192">
        <v>252</v>
      </c>
      <c r="J151" s="192">
        <v>13.36</v>
      </c>
      <c r="K151" s="193">
        <v>1</v>
      </c>
      <c r="L151" s="192"/>
      <c r="M151" s="193"/>
      <c r="N151" s="193">
        <v>1</v>
      </c>
      <c r="O151" s="193">
        <v>1</v>
      </c>
      <c r="P151" s="399">
        <f t="shared" si="10"/>
        <v>18.9</v>
      </c>
      <c r="Q151" s="193">
        <f t="shared" si="10"/>
        <v>252</v>
      </c>
      <c r="R151" s="193">
        <f t="shared" si="10"/>
        <v>13.36</v>
      </c>
    </row>
    <row r="152" spans="1:18" ht="13.5">
      <c r="A152" s="767"/>
      <c r="B152" s="767"/>
      <c r="C152" s="204"/>
      <c r="D152" s="193"/>
      <c r="E152" s="193"/>
      <c r="F152" s="193"/>
      <c r="G152" s="192" t="s">
        <v>420</v>
      </c>
      <c r="H152" s="192">
        <v>8.48</v>
      </c>
      <c r="I152" s="192">
        <v>113</v>
      </c>
      <c r="J152" s="192">
        <v>5.99</v>
      </c>
      <c r="K152" s="193">
        <v>1</v>
      </c>
      <c r="L152" s="192"/>
      <c r="M152" s="193"/>
      <c r="N152" s="193">
        <v>1</v>
      </c>
      <c r="O152" s="193">
        <v>1</v>
      </c>
      <c r="P152" s="399">
        <f t="shared" si="10"/>
        <v>8.48</v>
      </c>
      <c r="Q152" s="193">
        <f t="shared" si="10"/>
        <v>113</v>
      </c>
      <c r="R152" s="193">
        <f t="shared" si="10"/>
        <v>5.99</v>
      </c>
    </row>
    <row r="153" spans="1:18" ht="13.5">
      <c r="A153" s="767"/>
      <c r="B153" s="767"/>
      <c r="C153" s="204"/>
      <c r="D153" s="193"/>
      <c r="E153" s="193"/>
      <c r="F153" s="193"/>
      <c r="G153" s="192" t="s">
        <v>421</v>
      </c>
      <c r="H153" s="192">
        <v>13.8</v>
      </c>
      <c r="I153" s="192">
        <v>184</v>
      </c>
      <c r="J153" s="192">
        <v>9.75</v>
      </c>
      <c r="K153" s="193">
        <v>1</v>
      </c>
      <c r="L153" s="192"/>
      <c r="M153" s="193"/>
      <c r="N153" s="193">
        <v>1</v>
      </c>
      <c r="O153" s="193">
        <v>1</v>
      </c>
      <c r="P153" s="399">
        <f t="shared" si="10"/>
        <v>13.8</v>
      </c>
      <c r="Q153" s="193">
        <f t="shared" si="10"/>
        <v>184</v>
      </c>
      <c r="R153" s="193">
        <f t="shared" si="10"/>
        <v>9.75</v>
      </c>
    </row>
    <row r="154" spans="1:18" ht="13.5">
      <c r="A154" s="767"/>
      <c r="B154" s="767"/>
      <c r="C154" s="204"/>
      <c r="D154" s="193"/>
      <c r="E154" s="193"/>
      <c r="F154" s="193"/>
      <c r="G154" s="192" t="s">
        <v>422</v>
      </c>
      <c r="H154" s="423">
        <v>14.48</v>
      </c>
      <c r="I154" s="423">
        <v>193</v>
      </c>
      <c r="J154" s="192">
        <v>10.23</v>
      </c>
      <c r="K154" s="193">
        <v>1</v>
      </c>
      <c r="L154" s="192"/>
      <c r="M154" s="193"/>
      <c r="N154" s="193">
        <v>1</v>
      </c>
      <c r="O154" s="193">
        <v>1</v>
      </c>
      <c r="P154" s="399">
        <f t="shared" si="10"/>
        <v>14.48</v>
      </c>
      <c r="Q154" s="193">
        <f t="shared" si="10"/>
        <v>193</v>
      </c>
      <c r="R154" s="193">
        <f t="shared" si="10"/>
        <v>10.23</v>
      </c>
    </row>
    <row r="155" spans="1:18" ht="13.5">
      <c r="A155" s="767"/>
      <c r="B155" s="767"/>
      <c r="C155" s="204"/>
      <c r="D155" s="193"/>
      <c r="E155" s="193"/>
      <c r="F155" s="193"/>
      <c r="G155" s="192" t="s">
        <v>423</v>
      </c>
      <c r="H155" s="423">
        <v>12.15</v>
      </c>
      <c r="I155" s="423">
        <v>162</v>
      </c>
      <c r="J155" s="192">
        <v>8.59</v>
      </c>
      <c r="K155" s="193">
        <v>1</v>
      </c>
      <c r="L155" s="192"/>
      <c r="M155" s="193"/>
      <c r="N155" s="193">
        <v>1</v>
      </c>
      <c r="O155" s="193">
        <v>1</v>
      </c>
      <c r="P155" s="399">
        <f t="shared" si="10"/>
        <v>12.15</v>
      </c>
      <c r="Q155" s="193">
        <f t="shared" si="10"/>
        <v>162</v>
      </c>
      <c r="R155" s="193">
        <f t="shared" si="10"/>
        <v>8.59</v>
      </c>
    </row>
    <row r="156" spans="1:18" ht="13.5">
      <c r="A156" s="804" t="s">
        <v>424</v>
      </c>
      <c r="B156" s="805"/>
      <c r="C156" s="422">
        <v>5</v>
      </c>
      <c r="D156" s="376">
        <f>D157+D158+D159+D160+D161</f>
        <v>68.58</v>
      </c>
      <c r="E156" s="376">
        <f>E157+E158+E159+E160+E161</f>
        <v>762</v>
      </c>
      <c r="F156" s="376">
        <f>F157+F158+F159+F160+F161</f>
        <v>81.64</v>
      </c>
      <c r="G156" s="376"/>
      <c r="H156" s="376"/>
      <c r="I156" s="376"/>
      <c r="J156" s="376"/>
      <c r="K156" s="376"/>
      <c r="L156" s="376"/>
      <c r="M156" s="376"/>
      <c r="N156" s="376"/>
      <c r="O156" s="376">
        <f>O157+O158+O159+O160+O161</f>
        <v>5</v>
      </c>
      <c r="P156" s="376">
        <f>P157+P158+P159+P160+P161</f>
        <v>68.58</v>
      </c>
      <c r="Q156" s="376">
        <f>Q157+Q158+Q159+Q160+Q161</f>
        <v>762</v>
      </c>
      <c r="R156" s="376">
        <f>R157+R158+R159+R160+R161</f>
        <v>81.64</v>
      </c>
    </row>
    <row r="157" spans="1:18" ht="13.5">
      <c r="A157" s="765" t="s">
        <v>2109</v>
      </c>
      <c r="B157" s="765" t="s">
        <v>2087</v>
      </c>
      <c r="C157" s="193" t="s">
        <v>425</v>
      </c>
      <c r="D157" s="193">
        <v>14.58</v>
      </c>
      <c r="E157" s="193">
        <v>162</v>
      </c>
      <c r="F157" s="193">
        <v>17.01</v>
      </c>
      <c r="G157" s="193"/>
      <c r="H157" s="193"/>
      <c r="I157" s="193"/>
      <c r="J157" s="193"/>
      <c r="K157" s="193"/>
      <c r="L157" s="193"/>
      <c r="M157" s="193"/>
      <c r="N157" s="193"/>
      <c r="O157" s="193">
        <v>1</v>
      </c>
      <c r="P157" s="193">
        <v>14.58</v>
      </c>
      <c r="Q157" s="193">
        <v>162</v>
      </c>
      <c r="R157" s="193">
        <v>17.01</v>
      </c>
    </row>
    <row r="158" spans="1:18" ht="13.5">
      <c r="A158" s="767"/>
      <c r="B158" s="767"/>
      <c r="C158" s="193" t="s">
        <v>426</v>
      </c>
      <c r="D158" s="193">
        <v>14.13</v>
      </c>
      <c r="E158" s="193">
        <v>157</v>
      </c>
      <c r="F158" s="193">
        <v>16.485</v>
      </c>
      <c r="G158" s="193"/>
      <c r="H158" s="193"/>
      <c r="I158" s="193"/>
      <c r="J158" s="193"/>
      <c r="K158" s="193"/>
      <c r="L158" s="193"/>
      <c r="M158" s="193"/>
      <c r="N158" s="193"/>
      <c r="O158" s="193">
        <v>1</v>
      </c>
      <c r="P158" s="193">
        <v>14.13</v>
      </c>
      <c r="Q158" s="193">
        <v>157</v>
      </c>
      <c r="R158" s="193">
        <v>16.485</v>
      </c>
    </row>
    <row r="159" spans="1:18" ht="13.5">
      <c r="A159" s="767"/>
      <c r="B159" s="767"/>
      <c r="C159" s="193" t="s">
        <v>427</v>
      </c>
      <c r="D159" s="193">
        <v>14.04</v>
      </c>
      <c r="E159" s="193">
        <v>156</v>
      </c>
      <c r="F159" s="193">
        <v>16.38</v>
      </c>
      <c r="G159" s="193"/>
      <c r="H159" s="193"/>
      <c r="I159" s="193"/>
      <c r="J159" s="193"/>
      <c r="K159" s="193"/>
      <c r="L159" s="193"/>
      <c r="M159" s="193"/>
      <c r="N159" s="193"/>
      <c r="O159" s="193">
        <v>1</v>
      </c>
      <c r="P159" s="193">
        <v>14.04</v>
      </c>
      <c r="Q159" s="193">
        <v>156</v>
      </c>
      <c r="R159" s="193">
        <v>16.38</v>
      </c>
    </row>
    <row r="160" spans="1:18" ht="13.5">
      <c r="A160" s="767"/>
      <c r="B160" s="766"/>
      <c r="C160" s="193" t="s">
        <v>428</v>
      </c>
      <c r="D160" s="193">
        <v>11.16</v>
      </c>
      <c r="E160" s="193">
        <v>124</v>
      </c>
      <c r="F160" s="193">
        <v>13.02</v>
      </c>
      <c r="G160" s="193"/>
      <c r="H160" s="193"/>
      <c r="I160" s="193"/>
      <c r="J160" s="193"/>
      <c r="K160" s="193"/>
      <c r="L160" s="193"/>
      <c r="M160" s="193"/>
      <c r="N160" s="193"/>
      <c r="O160" s="193">
        <v>1</v>
      </c>
      <c r="P160" s="193">
        <v>11.16</v>
      </c>
      <c r="Q160" s="193">
        <v>124</v>
      </c>
      <c r="R160" s="193">
        <v>13.02</v>
      </c>
    </row>
    <row r="161" spans="1:18" ht="21">
      <c r="A161" s="766"/>
      <c r="B161" s="201" t="s">
        <v>2090</v>
      </c>
      <c r="C161" s="193" t="s">
        <v>429</v>
      </c>
      <c r="D161" s="193">
        <v>14.67</v>
      </c>
      <c r="E161" s="193">
        <v>163</v>
      </c>
      <c r="F161" s="193">
        <v>18.745</v>
      </c>
      <c r="G161" s="193"/>
      <c r="H161" s="193"/>
      <c r="I161" s="193"/>
      <c r="J161" s="193"/>
      <c r="K161" s="193"/>
      <c r="L161" s="193"/>
      <c r="M161" s="193"/>
      <c r="N161" s="193"/>
      <c r="O161" s="193">
        <v>1</v>
      </c>
      <c r="P161" s="193">
        <v>14.67</v>
      </c>
      <c r="Q161" s="193">
        <v>163</v>
      </c>
      <c r="R161" s="193">
        <v>18.745</v>
      </c>
    </row>
    <row r="162" spans="1:18" ht="13.5">
      <c r="A162" s="775" t="s">
        <v>2110</v>
      </c>
      <c r="B162" s="202" t="s">
        <v>2111</v>
      </c>
      <c r="C162" s="193"/>
      <c r="D162" s="193" t="s">
        <v>2091</v>
      </c>
      <c r="E162" s="193"/>
      <c r="F162" s="193"/>
      <c r="G162" s="193"/>
      <c r="H162" s="193" t="s">
        <v>2091</v>
      </c>
      <c r="I162" s="193"/>
      <c r="J162" s="193"/>
      <c r="K162" s="193"/>
      <c r="L162" s="193"/>
      <c r="M162" s="193"/>
      <c r="N162" s="193" t="s">
        <v>2091</v>
      </c>
      <c r="O162" s="193"/>
      <c r="P162" s="193" t="s">
        <v>2091</v>
      </c>
      <c r="Q162" s="193"/>
      <c r="R162" s="193"/>
    </row>
    <row r="163" spans="1:18" ht="13.5">
      <c r="A163" s="775"/>
      <c r="B163" s="202" t="s">
        <v>2112</v>
      </c>
      <c r="C163" s="193"/>
      <c r="D163" s="193" t="s">
        <v>2091</v>
      </c>
      <c r="E163" s="193"/>
      <c r="F163" s="193"/>
      <c r="G163" s="193"/>
      <c r="H163" s="193" t="s">
        <v>2091</v>
      </c>
      <c r="I163" s="193"/>
      <c r="J163" s="193"/>
      <c r="K163" s="193"/>
      <c r="L163" s="193"/>
      <c r="M163" s="193"/>
      <c r="N163" s="193" t="s">
        <v>2091</v>
      </c>
      <c r="O163" s="193"/>
      <c r="P163" s="193" t="s">
        <v>2091</v>
      </c>
      <c r="Q163" s="193"/>
      <c r="R163" s="193"/>
    </row>
    <row r="164" spans="1:18" ht="13.5">
      <c r="A164" s="775"/>
      <c r="B164" s="202" t="s">
        <v>2113</v>
      </c>
      <c r="C164" s="193"/>
      <c r="D164" s="193" t="s">
        <v>2091</v>
      </c>
      <c r="E164" s="193"/>
      <c r="F164" s="193"/>
      <c r="G164" s="193"/>
      <c r="H164" s="193" t="s">
        <v>2091</v>
      </c>
      <c r="I164" s="193"/>
      <c r="J164" s="193"/>
      <c r="K164" s="193"/>
      <c r="L164" s="193"/>
      <c r="M164" s="193"/>
      <c r="N164" s="193" t="s">
        <v>2091</v>
      </c>
      <c r="O164" s="193"/>
      <c r="P164" s="193" t="s">
        <v>2091</v>
      </c>
      <c r="Q164" s="193"/>
      <c r="R164" s="193"/>
    </row>
    <row r="165" spans="1:18" ht="13.5">
      <c r="A165" s="806" t="s">
        <v>2114</v>
      </c>
      <c r="B165" s="806"/>
      <c r="C165" s="806"/>
      <c r="D165" s="806"/>
      <c r="E165" s="806"/>
      <c r="F165" s="806"/>
      <c r="G165" s="806"/>
      <c r="H165" s="806"/>
      <c r="I165" s="806"/>
      <c r="J165" s="806"/>
      <c r="K165" s="806"/>
      <c r="L165" s="806"/>
      <c r="M165" s="806"/>
      <c r="N165" s="806"/>
      <c r="O165" s="806"/>
      <c r="P165" s="806"/>
      <c r="Q165" s="806"/>
      <c r="R165" s="806"/>
    </row>
  </sheetData>
  <sheetProtection/>
  <mergeCells count="24">
    <mergeCell ref="A162:A164"/>
    <mergeCell ref="A165:R165"/>
    <mergeCell ref="A146:B146"/>
    <mergeCell ref="A147:A155"/>
    <mergeCell ref="B147:B155"/>
    <mergeCell ref="A156:B156"/>
    <mergeCell ref="A157:A161"/>
    <mergeCell ref="B157:B160"/>
    <mergeCell ref="A108:A145"/>
    <mergeCell ref="B108:B145"/>
    <mergeCell ref="A7:B7"/>
    <mergeCell ref="A8:B8"/>
    <mergeCell ref="A9:A57"/>
    <mergeCell ref="B9:B57"/>
    <mergeCell ref="A58:B58"/>
    <mergeCell ref="A59:A106"/>
    <mergeCell ref="B59:B106"/>
    <mergeCell ref="A107:B107"/>
    <mergeCell ref="A1:D1"/>
    <mergeCell ref="A2:R2"/>
    <mergeCell ref="A3:B6"/>
    <mergeCell ref="C3:F3"/>
    <mergeCell ref="G3:N3"/>
    <mergeCell ref="O3:R3"/>
  </mergeCells>
  <printOptions/>
  <pageMargins left="0.75" right="0.52" top="0.56" bottom="0.52" header="0.31496062992125984" footer="0.31496062992125984"/>
  <pageSetup horizontalDpi="600" verticalDpi="600" orientation="landscape" paperSize="9" r:id="rId1"/>
  <headerFooter>
    <oddFooter>&amp;C第 &amp;P 页，共 &amp;N 页</oddFooter>
  </headerFooter>
</worksheet>
</file>

<file path=xl/worksheets/sheet12.xml><?xml version="1.0" encoding="utf-8"?>
<worksheet xmlns="http://schemas.openxmlformats.org/spreadsheetml/2006/main" xmlns:r="http://schemas.openxmlformats.org/officeDocument/2006/relationships">
  <sheetPr>
    <tabColor rgb="FFFF0000"/>
  </sheetPr>
  <dimension ref="A1:T31"/>
  <sheetViews>
    <sheetView zoomScalePageLayoutView="0" workbookViewId="0" topLeftCell="A1">
      <pane xSplit="2" ySplit="1" topLeftCell="C2" activePane="bottomRight" state="frozen"/>
      <selection pane="topLeft" activeCell="A1" sqref="A1"/>
      <selection pane="topRight" activeCell="C1" sqref="C1"/>
      <selection pane="bottomLeft" activeCell="A5" sqref="A5"/>
      <selection pane="bottomRight" activeCell="L7" sqref="L7"/>
    </sheetView>
  </sheetViews>
  <sheetFormatPr defaultColWidth="9.00390625" defaultRowHeight="13.5"/>
  <cols>
    <col min="1" max="1" width="9.125" style="0" customWidth="1"/>
    <col min="2" max="2" width="8.625" style="0" customWidth="1"/>
    <col min="3" max="3" width="7.50390625" style="0" customWidth="1"/>
    <col min="4" max="4" width="5.875" style="0" customWidth="1"/>
    <col min="5" max="5" width="9.75390625" style="0" customWidth="1"/>
    <col min="6" max="6" width="5.875" style="0" customWidth="1"/>
    <col min="7" max="7" width="10.375" style="0" customWidth="1"/>
    <col min="8" max="11" width="6.375" style="0" customWidth="1"/>
    <col min="12" max="12" width="10.50390625" style="0" customWidth="1"/>
    <col min="14" max="14" width="11.625" style="0" customWidth="1"/>
    <col min="15" max="15" width="9.875" style="0" customWidth="1"/>
    <col min="16" max="17" width="7.875" style="0" customWidth="1"/>
    <col min="18" max="20" width="5.625" style="0" customWidth="1"/>
    <col min="21" max="22" width="7.875" style="0" customWidth="1"/>
    <col min="23" max="23" width="9.75390625" style="0" customWidth="1"/>
  </cols>
  <sheetData>
    <row r="1" spans="1:20" ht="20.25">
      <c r="A1" s="815" t="s">
        <v>2481</v>
      </c>
      <c r="B1" s="815"/>
      <c r="C1" s="815"/>
      <c r="D1" s="815"/>
      <c r="E1" s="815"/>
      <c r="F1" s="815"/>
      <c r="G1" s="815"/>
      <c r="H1" s="815"/>
      <c r="I1" s="815"/>
      <c r="J1" s="815"/>
      <c r="K1" s="815"/>
      <c r="L1" s="815"/>
      <c r="M1" s="815"/>
      <c r="N1" s="815"/>
      <c r="O1" s="815"/>
      <c r="P1" s="815"/>
      <c r="Q1" s="815"/>
      <c r="R1" s="815"/>
      <c r="S1" s="815"/>
      <c r="T1" s="815"/>
    </row>
    <row r="3" spans="1:20" ht="13.5">
      <c r="A3" s="813" t="s">
        <v>2057</v>
      </c>
      <c r="B3" s="813"/>
      <c r="C3" s="819" t="s">
        <v>2482</v>
      </c>
      <c r="D3" s="813" t="s">
        <v>2115</v>
      </c>
      <c r="E3" s="813"/>
      <c r="F3" s="813" t="s">
        <v>2483</v>
      </c>
      <c r="G3" s="813"/>
      <c r="H3" s="821" t="s">
        <v>2116</v>
      </c>
      <c r="I3" s="822"/>
      <c r="J3" s="822"/>
      <c r="K3" s="823"/>
      <c r="L3" s="828" t="s">
        <v>2117</v>
      </c>
      <c r="M3" s="816" t="s">
        <v>2118</v>
      </c>
      <c r="N3" s="817"/>
      <c r="O3" s="817"/>
      <c r="P3" s="817"/>
      <c r="Q3" s="817"/>
      <c r="R3" s="817"/>
      <c r="S3" s="817"/>
      <c r="T3" s="818"/>
    </row>
    <row r="4" spans="1:20" ht="60">
      <c r="A4" s="813"/>
      <c r="B4" s="813"/>
      <c r="C4" s="827"/>
      <c r="D4" s="527" t="s">
        <v>2108</v>
      </c>
      <c r="E4" s="527" t="s">
        <v>702</v>
      </c>
      <c r="F4" s="527" t="s">
        <v>2108</v>
      </c>
      <c r="G4" s="527" t="s">
        <v>702</v>
      </c>
      <c r="H4" s="527" t="s">
        <v>2119</v>
      </c>
      <c r="I4" s="536" t="s">
        <v>2120</v>
      </c>
      <c r="J4" s="536" t="s">
        <v>2121</v>
      </c>
      <c r="K4" s="536" t="s">
        <v>2122</v>
      </c>
      <c r="L4" s="829"/>
      <c r="M4" s="536" t="s">
        <v>2108</v>
      </c>
      <c r="N4" s="527" t="s">
        <v>2123</v>
      </c>
      <c r="O4" s="527" t="s">
        <v>2124</v>
      </c>
      <c r="P4" s="527" t="s">
        <v>2484</v>
      </c>
      <c r="Q4" s="527" t="s">
        <v>2485</v>
      </c>
      <c r="R4" s="527" t="s">
        <v>2486</v>
      </c>
      <c r="S4" s="527" t="s">
        <v>2487</v>
      </c>
      <c r="T4" s="527" t="s">
        <v>2488</v>
      </c>
    </row>
    <row r="5" spans="1:20" ht="14.25">
      <c r="A5" s="813"/>
      <c r="B5" s="813"/>
      <c r="C5" s="827"/>
      <c r="D5" s="527" t="s">
        <v>705</v>
      </c>
      <c r="E5" s="527" t="s">
        <v>2086</v>
      </c>
      <c r="F5" s="527" t="s">
        <v>705</v>
      </c>
      <c r="G5" s="527" t="s">
        <v>2086</v>
      </c>
      <c r="H5" s="527" t="s">
        <v>2086</v>
      </c>
      <c r="I5" s="527" t="s">
        <v>2086</v>
      </c>
      <c r="J5" s="527" t="s">
        <v>2086</v>
      </c>
      <c r="K5" s="527" t="s">
        <v>2086</v>
      </c>
      <c r="L5" s="527" t="s">
        <v>2086</v>
      </c>
      <c r="M5" s="527" t="s">
        <v>705</v>
      </c>
      <c r="N5" s="527" t="s">
        <v>706</v>
      </c>
      <c r="O5" s="527" t="s">
        <v>2489</v>
      </c>
      <c r="P5" s="527" t="s">
        <v>705</v>
      </c>
      <c r="Q5" s="527" t="s">
        <v>705</v>
      </c>
      <c r="R5" s="527" t="s">
        <v>2125</v>
      </c>
      <c r="S5" s="527" t="s">
        <v>2125</v>
      </c>
      <c r="T5" s="527" t="s">
        <v>2125</v>
      </c>
    </row>
    <row r="6" spans="1:20" ht="13.5">
      <c r="A6" s="813"/>
      <c r="B6" s="813"/>
      <c r="C6" s="820"/>
      <c r="D6" s="537">
        <v>1</v>
      </c>
      <c r="E6" s="537">
        <v>2</v>
      </c>
      <c r="F6" s="537">
        <v>3</v>
      </c>
      <c r="G6" s="537">
        <v>4</v>
      </c>
      <c r="H6" s="537">
        <v>5</v>
      </c>
      <c r="I6" s="537">
        <v>6</v>
      </c>
      <c r="J6" s="537">
        <v>7</v>
      </c>
      <c r="K6" s="537">
        <v>8</v>
      </c>
      <c r="L6" s="537">
        <v>9</v>
      </c>
      <c r="M6" s="537">
        <v>10</v>
      </c>
      <c r="N6" s="537">
        <v>11</v>
      </c>
      <c r="O6" s="537">
        <v>12</v>
      </c>
      <c r="P6" s="537">
        <v>13</v>
      </c>
      <c r="Q6" s="537">
        <v>14</v>
      </c>
      <c r="R6" s="537">
        <v>15</v>
      </c>
      <c r="S6" s="537">
        <v>16</v>
      </c>
      <c r="T6" s="537">
        <v>17</v>
      </c>
    </row>
    <row r="7" spans="1:20" ht="13.5">
      <c r="A7" s="807" t="s">
        <v>2490</v>
      </c>
      <c r="B7" s="808"/>
      <c r="C7" s="538" t="s">
        <v>2491</v>
      </c>
      <c r="D7" s="539">
        <f>D8+D11+D16+D24</f>
        <v>139</v>
      </c>
      <c r="E7" s="539">
        <f>E8+E11+E16+E24</f>
        <v>10114.61</v>
      </c>
      <c r="F7" s="539">
        <f>F8+F11+F16+F24</f>
        <v>219</v>
      </c>
      <c r="G7" s="540">
        <f>G8+G11+G16+G24</f>
        <v>6626.1575</v>
      </c>
      <c r="H7" s="539"/>
      <c r="I7" s="539"/>
      <c r="J7" s="539"/>
      <c r="K7" s="539"/>
      <c r="L7" s="539">
        <f aca="true" t="shared" si="0" ref="L7:Q7">L8+L11+L16+L24</f>
        <v>16740.767499999998</v>
      </c>
      <c r="M7" s="539">
        <f t="shared" si="0"/>
        <v>358</v>
      </c>
      <c r="N7" s="539">
        <f t="shared" si="0"/>
        <v>20.725</v>
      </c>
      <c r="O7" s="539">
        <f t="shared" si="0"/>
        <v>17001.25904761905</v>
      </c>
      <c r="P7" s="539">
        <f t="shared" si="0"/>
        <v>404</v>
      </c>
      <c r="Q7" s="539">
        <f t="shared" si="0"/>
        <v>44</v>
      </c>
      <c r="R7" s="539"/>
      <c r="S7" s="539"/>
      <c r="T7" s="539"/>
    </row>
    <row r="8" spans="1:20" ht="13.5">
      <c r="A8" s="824" t="s">
        <v>2492</v>
      </c>
      <c r="B8" s="541" t="s">
        <v>2493</v>
      </c>
      <c r="C8" s="542">
        <v>1</v>
      </c>
      <c r="D8" s="543">
        <f>D9+D10</f>
        <v>1</v>
      </c>
      <c r="E8" s="543">
        <f aca="true" t="shared" si="1" ref="E8:Q8">E9+E10</f>
        <v>5610</v>
      </c>
      <c r="F8" s="543">
        <f t="shared" si="1"/>
        <v>1</v>
      </c>
      <c r="G8" s="543">
        <f t="shared" si="1"/>
        <v>650</v>
      </c>
      <c r="H8" s="543"/>
      <c r="I8" s="543"/>
      <c r="J8" s="543"/>
      <c r="K8" s="543"/>
      <c r="L8" s="543">
        <f t="shared" si="1"/>
        <v>6260</v>
      </c>
      <c r="M8" s="543">
        <f t="shared" si="1"/>
        <v>2</v>
      </c>
      <c r="N8" s="543">
        <f t="shared" si="1"/>
        <v>7.64</v>
      </c>
      <c r="O8" s="543">
        <f t="shared" si="1"/>
        <v>6325</v>
      </c>
      <c r="P8" s="543">
        <f t="shared" si="1"/>
        <v>2</v>
      </c>
      <c r="Q8" s="543">
        <f t="shared" si="1"/>
        <v>2</v>
      </c>
      <c r="R8" s="543"/>
      <c r="S8" s="543"/>
      <c r="T8" s="543"/>
    </row>
    <row r="9" spans="1:20" ht="13.5">
      <c r="A9" s="825"/>
      <c r="B9" s="819" t="s">
        <v>2494</v>
      </c>
      <c r="C9" s="527" t="s">
        <v>2495</v>
      </c>
      <c r="D9" s="537"/>
      <c r="E9" s="537"/>
      <c r="F9" s="537">
        <v>1</v>
      </c>
      <c r="G9" s="544">
        <v>650</v>
      </c>
      <c r="H9" s="545" t="s">
        <v>2091</v>
      </c>
      <c r="I9" s="545" t="s">
        <v>2091</v>
      </c>
      <c r="J9" s="545" t="s">
        <v>2091</v>
      </c>
      <c r="K9" s="545" t="s">
        <v>2091</v>
      </c>
      <c r="L9" s="544">
        <f>G9+E9</f>
        <v>650</v>
      </c>
      <c r="M9" s="545">
        <f>F9+D9</f>
        <v>1</v>
      </c>
      <c r="N9" s="537">
        <v>2.54</v>
      </c>
      <c r="O9" s="544">
        <v>2500</v>
      </c>
      <c r="P9" s="537">
        <v>1</v>
      </c>
      <c r="Q9" s="537">
        <v>1</v>
      </c>
      <c r="R9" s="546">
        <v>0.95</v>
      </c>
      <c r="S9" s="546">
        <v>0.95</v>
      </c>
      <c r="T9" s="546">
        <v>0.95</v>
      </c>
    </row>
    <row r="10" spans="1:20" ht="13.5">
      <c r="A10" s="825"/>
      <c r="B10" s="820"/>
      <c r="C10" s="598" t="s">
        <v>2564</v>
      </c>
      <c r="D10" s="537">
        <v>1</v>
      </c>
      <c r="E10" s="537">
        <f>'农村饮水提质增效（20立方以上）附1'!X12</f>
        <v>5610</v>
      </c>
      <c r="F10" s="537"/>
      <c r="G10" s="544"/>
      <c r="H10" s="545" t="s">
        <v>2091</v>
      </c>
      <c r="I10" s="545" t="s">
        <v>2091</v>
      </c>
      <c r="J10" s="545" t="s">
        <v>2091</v>
      </c>
      <c r="K10" s="545" t="s">
        <v>2091</v>
      </c>
      <c r="L10" s="544">
        <f>G10+E10</f>
        <v>5610</v>
      </c>
      <c r="M10" s="545">
        <f>F10+D10</f>
        <v>1</v>
      </c>
      <c r="N10" s="537">
        <f>'农村饮水提质增效（20立方以上）附1'!I12/10000</f>
        <v>5.1</v>
      </c>
      <c r="O10" s="544">
        <f>'农村饮水提质增效（20立方以上）附1'!G12</f>
        <v>3825</v>
      </c>
      <c r="P10" s="537">
        <v>1</v>
      </c>
      <c r="Q10" s="537">
        <v>1</v>
      </c>
      <c r="R10" s="546">
        <v>0.95</v>
      </c>
      <c r="S10" s="546">
        <v>0.95</v>
      </c>
      <c r="T10" s="546">
        <v>0.95</v>
      </c>
    </row>
    <row r="11" spans="1:20" ht="13.5">
      <c r="A11" s="825"/>
      <c r="B11" s="541" t="s">
        <v>2493</v>
      </c>
      <c r="C11" s="542">
        <v>3</v>
      </c>
      <c r="D11" s="543">
        <f>D12+D13+D14+D15</f>
        <v>2</v>
      </c>
      <c r="E11" s="543">
        <f aca="true" t="shared" si="2" ref="E11:Q11">E12+E13+E14+E15</f>
        <v>2131.9</v>
      </c>
      <c r="F11" s="543">
        <f t="shared" si="2"/>
        <v>3</v>
      </c>
      <c r="G11" s="543">
        <f t="shared" si="2"/>
        <v>1421.24</v>
      </c>
      <c r="H11" s="543"/>
      <c r="I11" s="543"/>
      <c r="J11" s="543"/>
      <c r="K11" s="543"/>
      <c r="L11" s="543">
        <f t="shared" si="2"/>
        <v>3553.1400000000003</v>
      </c>
      <c r="M11" s="543">
        <f t="shared" si="2"/>
        <v>5</v>
      </c>
      <c r="N11" s="543">
        <f t="shared" si="2"/>
        <v>3.3663</v>
      </c>
      <c r="O11" s="543">
        <f t="shared" si="2"/>
        <v>2650</v>
      </c>
      <c r="P11" s="543">
        <f t="shared" si="2"/>
        <v>5</v>
      </c>
      <c r="Q11" s="543">
        <f t="shared" si="2"/>
        <v>5</v>
      </c>
      <c r="R11" s="543"/>
      <c r="S11" s="543"/>
      <c r="T11" s="543"/>
    </row>
    <row r="12" spans="1:20" ht="13.5">
      <c r="A12" s="825"/>
      <c r="B12" s="819" t="s">
        <v>2496</v>
      </c>
      <c r="C12" s="527" t="s">
        <v>2497</v>
      </c>
      <c r="D12" s="527">
        <v>2</v>
      </c>
      <c r="E12" s="527">
        <v>2131.9</v>
      </c>
      <c r="F12" s="527"/>
      <c r="G12" s="547"/>
      <c r="H12" s="548" t="s">
        <v>2091</v>
      </c>
      <c r="I12" s="548" t="s">
        <v>2091</v>
      </c>
      <c r="J12" s="548" t="s">
        <v>2091</v>
      </c>
      <c r="K12" s="548" t="s">
        <v>2091</v>
      </c>
      <c r="L12" s="548">
        <f>E12+G12</f>
        <v>2131.9</v>
      </c>
      <c r="M12" s="548">
        <f>D12+F12</f>
        <v>2</v>
      </c>
      <c r="N12" s="529">
        <v>2.1319</v>
      </c>
      <c r="O12" s="549">
        <v>1250</v>
      </c>
      <c r="P12" s="527">
        <v>2</v>
      </c>
      <c r="Q12" s="527">
        <v>2</v>
      </c>
      <c r="R12" s="546">
        <v>0.95</v>
      </c>
      <c r="S12" s="546">
        <v>0.95</v>
      </c>
      <c r="T12" s="546">
        <v>0.95</v>
      </c>
    </row>
    <row r="13" spans="1:20" ht="13.5">
      <c r="A13" s="825"/>
      <c r="B13" s="827"/>
      <c r="C13" s="527" t="s">
        <v>2498</v>
      </c>
      <c r="D13" s="527"/>
      <c r="E13" s="527"/>
      <c r="F13" s="527">
        <v>1</v>
      </c>
      <c r="G13" s="547">
        <v>192.3</v>
      </c>
      <c r="H13" s="548" t="s">
        <v>2091</v>
      </c>
      <c r="I13" s="548" t="s">
        <v>2091</v>
      </c>
      <c r="J13" s="548" t="s">
        <v>2091</v>
      </c>
      <c r="K13" s="548" t="s">
        <v>2091</v>
      </c>
      <c r="L13" s="550">
        <f>G13</f>
        <v>192.3</v>
      </c>
      <c r="M13" s="548">
        <f>D13+F13</f>
        <v>1</v>
      </c>
      <c r="N13" s="529">
        <v>0.2844</v>
      </c>
      <c r="O13" s="527">
        <v>500</v>
      </c>
      <c r="P13" s="527">
        <v>1</v>
      </c>
      <c r="Q13" s="527">
        <v>1</v>
      </c>
      <c r="R13" s="546">
        <v>0.95</v>
      </c>
      <c r="S13" s="546">
        <v>0.95</v>
      </c>
      <c r="T13" s="546">
        <v>0.95</v>
      </c>
    </row>
    <row r="14" spans="1:20" ht="13.5">
      <c r="A14" s="825"/>
      <c r="B14" s="827"/>
      <c r="C14" s="527" t="s">
        <v>2499</v>
      </c>
      <c r="D14" s="527"/>
      <c r="E14" s="527"/>
      <c r="F14" s="527">
        <v>1</v>
      </c>
      <c r="G14" s="527">
        <f>'农村饮水提质增效（20立方以上）附1'!X19</f>
        <v>843.5</v>
      </c>
      <c r="H14" s="548" t="s">
        <v>2091</v>
      </c>
      <c r="I14" s="548" t="s">
        <v>2091</v>
      </c>
      <c r="J14" s="548" t="s">
        <v>2091</v>
      </c>
      <c r="K14" s="548" t="s">
        <v>2091</v>
      </c>
      <c r="L14" s="548">
        <f>E14+G14</f>
        <v>843.5</v>
      </c>
      <c r="M14" s="548">
        <f>D14+F14</f>
        <v>1</v>
      </c>
      <c r="N14" s="529">
        <f>'农村饮水提质增效（20立方以上）附1'!I19/10000</f>
        <v>0.7</v>
      </c>
      <c r="O14" s="551">
        <f>'农村饮水提质增效（20立方以上）附1'!G19</f>
        <v>650</v>
      </c>
      <c r="P14" s="527">
        <f>M14</f>
        <v>1</v>
      </c>
      <c r="Q14" s="527">
        <f>P14</f>
        <v>1</v>
      </c>
      <c r="R14" s="546">
        <v>0.95</v>
      </c>
      <c r="S14" s="546">
        <v>0.95</v>
      </c>
      <c r="T14" s="546">
        <v>0.95</v>
      </c>
    </row>
    <row r="15" spans="1:20" ht="13.5">
      <c r="A15" s="825"/>
      <c r="B15" s="827"/>
      <c r="C15" s="527" t="s">
        <v>2495</v>
      </c>
      <c r="D15" s="527"/>
      <c r="E15" s="527"/>
      <c r="F15" s="527">
        <v>1</v>
      </c>
      <c r="G15" s="527">
        <v>385.44</v>
      </c>
      <c r="H15" s="548" t="s">
        <v>2091</v>
      </c>
      <c r="I15" s="548" t="s">
        <v>2091</v>
      </c>
      <c r="J15" s="548" t="s">
        <v>2091</v>
      </c>
      <c r="K15" s="548" t="s">
        <v>2091</v>
      </c>
      <c r="L15" s="548">
        <v>385.44</v>
      </c>
      <c r="M15" s="548">
        <v>1</v>
      </c>
      <c r="N15" s="529">
        <v>0.25</v>
      </c>
      <c r="O15" s="551">
        <v>250</v>
      </c>
      <c r="P15" s="527">
        <v>1</v>
      </c>
      <c r="Q15" s="527">
        <v>1</v>
      </c>
      <c r="R15" s="546">
        <v>0.95</v>
      </c>
      <c r="S15" s="546">
        <v>0.95</v>
      </c>
      <c r="T15" s="546">
        <v>0.95</v>
      </c>
    </row>
    <row r="16" spans="1:20" ht="13.5">
      <c r="A16" s="825"/>
      <c r="B16" s="541" t="s">
        <v>2493</v>
      </c>
      <c r="C16" s="542">
        <v>7</v>
      </c>
      <c r="D16" s="543">
        <f>D17+D18+D19+D20+D21+D22+D23</f>
        <v>34</v>
      </c>
      <c r="E16" s="543">
        <f>E17+E18+E19+E20+E21+E22+E23</f>
        <v>1333.16</v>
      </c>
      <c r="F16" s="543">
        <f>F17+F18+F19+F20+F21+F22+F23</f>
        <v>128</v>
      </c>
      <c r="G16" s="540">
        <f>G17+G18+G19+G20+G21+G22+G23</f>
        <v>3758.1175000000003</v>
      </c>
      <c r="H16" s="543"/>
      <c r="I16" s="543"/>
      <c r="J16" s="543"/>
      <c r="K16" s="540"/>
      <c r="L16" s="540">
        <f>E16+G16</f>
        <v>5091.2775</v>
      </c>
      <c r="M16" s="543">
        <f>M17+M18+M19+M20+M21+M22+M23</f>
        <v>162</v>
      </c>
      <c r="N16" s="552">
        <f>N17+N18+N19+N20+N21+N22+N23</f>
        <v>7.0637</v>
      </c>
      <c r="O16" s="540">
        <f>O17+O18+O19+O20+O21+O22+O23</f>
        <v>5851.819047619049</v>
      </c>
      <c r="P16" s="553">
        <f>P17+P18+P19+P20+P21+P22+P23</f>
        <v>165</v>
      </c>
      <c r="Q16" s="543">
        <f>Q17+Q18+Q19+Q20+Q21+Q22+Q23</f>
        <v>23</v>
      </c>
      <c r="R16" s="543"/>
      <c r="S16" s="543"/>
      <c r="T16" s="543"/>
    </row>
    <row r="17" spans="1:20" ht="13.5">
      <c r="A17" s="825"/>
      <c r="B17" s="819" t="s">
        <v>2500</v>
      </c>
      <c r="C17" s="527" t="s">
        <v>2501</v>
      </c>
      <c r="D17" s="527">
        <v>25</v>
      </c>
      <c r="E17" s="527">
        <v>1070.7</v>
      </c>
      <c r="F17" s="527">
        <v>18</v>
      </c>
      <c r="G17" s="547">
        <v>612.2</v>
      </c>
      <c r="H17" s="548" t="s">
        <v>2091</v>
      </c>
      <c r="I17" s="548" t="s">
        <v>2091</v>
      </c>
      <c r="J17" s="548" t="s">
        <v>2091</v>
      </c>
      <c r="K17" s="550"/>
      <c r="L17" s="548">
        <v>1682.9</v>
      </c>
      <c r="M17" s="548">
        <f>D17+F17</f>
        <v>43</v>
      </c>
      <c r="N17" s="527">
        <v>2.0759</v>
      </c>
      <c r="O17" s="527">
        <f>'[1]表3-1 工程汇总'!G22</f>
        <v>1556.9600000000007</v>
      </c>
      <c r="P17" s="527">
        <v>80</v>
      </c>
      <c r="Q17" s="527"/>
      <c r="R17" s="546">
        <v>0.9</v>
      </c>
      <c r="S17" s="546">
        <v>0.9</v>
      </c>
      <c r="T17" s="546">
        <v>0.9</v>
      </c>
    </row>
    <row r="18" spans="1:20" ht="13.5">
      <c r="A18" s="825"/>
      <c r="B18" s="827"/>
      <c r="C18" s="554" t="s">
        <v>2502</v>
      </c>
      <c r="D18" s="527"/>
      <c r="E18" s="527"/>
      <c r="F18" s="527">
        <v>62</v>
      </c>
      <c r="G18" s="547">
        <v>1638.88</v>
      </c>
      <c r="H18" s="548"/>
      <c r="I18" s="548"/>
      <c r="J18" s="548"/>
      <c r="K18" s="550"/>
      <c r="L18" s="548">
        <f>G18</f>
        <v>1638.88</v>
      </c>
      <c r="M18" s="548">
        <f>F18</f>
        <v>62</v>
      </c>
      <c r="N18" s="527">
        <v>2.2447</v>
      </c>
      <c r="O18" s="527">
        <f>'[1]表3-1 工程汇总'!G66</f>
        <v>1894.4500000000007</v>
      </c>
      <c r="P18" s="527">
        <v>29</v>
      </c>
      <c r="Q18" s="527"/>
      <c r="R18" s="546">
        <v>0.9</v>
      </c>
      <c r="S18" s="546">
        <v>0.9</v>
      </c>
      <c r="T18" s="546">
        <v>0.9</v>
      </c>
    </row>
    <row r="19" spans="1:20" ht="13.5">
      <c r="A19" s="825"/>
      <c r="B19" s="827"/>
      <c r="C19" s="554" t="s">
        <v>2495</v>
      </c>
      <c r="D19" s="555"/>
      <c r="E19" s="555"/>
      <c r="F19" s="527">
        <v>32</v>
      </c>
      <c r="G19" s="547">
        <v>927.62</v>
      </c>
      <c r="H19" s="548" t="s">
        <v>2091</v>
      </c>
      <c r="I19" s="548" t="s">
        <v>2091</v>
      </c>
      <c r="J19" s="548" t="s">
        <v>2091</v>
      </c>
      <c r="K19" s="550"/>
      <c r="L19" s="548">
        <v>927.62</v>
      </c>
      <c r="M19" s="548">
        <v>32</v>
      </c>
      <c r="N19" s="527">
        <v>1.4271</v>
      </c>
      <c r="O19" s="527">
        <f>'[1]表3-1 工程汇总'!G129</f>
        <v>1214.9</v>
      </c>
      <c r="P19" s="527">
        <v>32</v>
      </c>
      <c r="Q19" s="527"/>
      <c r="R19" s="546">
        <v>0.95</v>
      </c>
      <c r="S19" s="546">
        <v>0.95</v>
      </c>
      <c r="T19" s="546">
        <v>0.95</v>
      </c>
    </row>
    <row r="20" spans="1:20" ht="13.5">
      <c r="A20" s="825"/>
      <c r="B20" s="827"/>
      <c r="C20" s="554" t="s">
        <v>2497</v>
      </c>
      <c r="D20" s="527"/>
      <c r="E20" s="527"/>
      <c r="F20" s="527">
        <v>1</v>
      </c>
      <c r="G20" s="547">
        <v>206.3</v>
      </c>
      <c r="H20" s="548" t="s">
        <v>2091</v>
      </c>
      <c r="I20" s="548" t="s">
        <v>2091</v>
      </c>
      <c r="J20" s="548" t="s">
        <v>2091</v>
      </c>
      <c r="K20" s="550"/>
      <c r="L20" s="550">
        <f>E20+G20</f>
        <v>206.3</v>
      </c>
      <c r="M20" s="548">
        <v>1</v>
      </c>
      <c r="N20" s="527">
        <v>0.2066</v>
      </c>
      <c r="O20" s="547">
        <f>'[1]表3-1 工程汇总'!G162</f>
        <v>150</v>
      </c>
      <c r="P20" s="527">
        <v>1</v>
      </c>
      <c r="Q20" s="527">
        <v>1</v>
      </c>
      <c r="R20" s="546">
        <v>0.95</v>
      </c>
      <c r="S20" s="546">
        <v>0.95</v>
      </c>
      <c r="T20" s="546">
        <v>0.95</v>
      </c>
    </row>
    <row r="21" spans="1:20" ht="13.5">
      <c r="A21" s="825"/>
      <c r="B21" s="827"/>
      <c r="C21" s="554" t="s">
        <v>2498</v>
      </c>
      <c r="D21" s="527"/>
      <c r="E21" s="527"/>
      <c r="F21" s="527">
        <v>2</v>
      </c>
      <c r="G21" s="547">
        <v>56.13</v>
      </c>
      <c r="H21" s="548" t="s">
        <v>2091</v>
      </c>
      <c r="I21" s="548" t="s">
        <v>2091</v>
      </c>
      <c r="J21" s="548" t="s">
        <v>2091</v>
      </c>
      <c r="K21" s="550"/>
      <c r="L21" s="550">
        <f>G21</f>
        <v>56.13</v>
      </c>
      <c r="M21" s="548">
        <v>2</v>
      </c>
      <c r="N21" s="529">
        <v>0.1059</v>
      </c>
      <c r="O21" s="527">
        <f>'[1]表3-1 工程汇总'!G171</f>
        <v>85.5</v>
      </c>
      <c r="P21" s="527">
        <v>1</v>
      </c>
      <c r="Q21" s="527"/>
      <c r="R21" s="546">
        <v>0.95</v>
      </c>
      <c r="S21" s="546">
        <v>0.95</v>
      </c>
      <c r="T21" s="546">
        <v>0.95</v>
      </c>
    </row>
    <row r="22" spans="1:20" ht="13.5">
      <c r="A22" s="825"/>
      <c r="B22" s="827"/>
      <c r="C22" s="554" t="s">
        <v>2503</v>
      </c>
      <c r="D22" s="527">
        <v>9</v>
      </c>
      <c r="E22" s="527">
        <v>262.46</v>
      </c>
      <c r="F22" s="527">
        <v>8</v>
      </c>
      <c r="G22" s="547">
        <v>96.31</v>
      </c>
      <c r="H22" s="548"/>
      <c r="I22" s="548"/>
      <c r="J22" s="548"/>
      <c r="K22" s="550"/>
      <c r="L22" s="548">
        <f>E22+G22</f>
        <v>358.77</v>
      </c>
      <c r="M22" s="548">
        <v>17</v>
      </c>
      <c r="N22" s="527">
        <v>0.8064</v>
      </c>
      <c r="O22" s="547">
        <f>'[1]表3-1 工程汇总'!G174</f>
        <v>772.6190476190477</v>
      </c>
      <c r="P22" s="527">
        <v>17</v>
      </c>
      <c r="Q22" s="527">
        <v>17</v>
      </c>
      <c r="R22" s="546">
        <v>0.95</v>
      </c>
      <c r="S22" s="546">
        <v>0.95</v>
      </c>
      <c r="T22" s="546">
        <v>0.95</v>
      </c>
    </row>
    <row r="23" spans="1:20" ht="13.5">
      <c r="A23" s="826"/>
      <c r="B23" s="827"/>
      <c r="C23" s="554" t="s">
        <v>2499</v>
      </c>
      <c r="D23" s="527"/>
      <c r="E23" s="527"/>
      <c r="F23" s="527">
        <v>5</v>
      </c>
      <c r="G23" s="547">
        <v>220.6775</v>
      </c>
      <c r="H23" s="548"/>
      <c r="I23" s="548"/>
      <c r="J23" s="548"/>
      <c r="K23" s="550"/>
      <c r="L23" s="550">
        <f>G23</f>
        <v>220.6775</v>
      </c>
      <c r="M23" s="548">
        <v>5</v>
      </c>
      <c r="N23" s="527">
        <v>0.1971</v>
      </c>
      <c r="O23" s="527">
        <f>'[1]表3-1 工程汇总'!G192</f>
        <v>177.39000000000001</v>
      </c>
      <c r="P23" s="527">
        <v>5</v>
      </c>
      <c r="Q23" s="527">
        <v>5</v>
      </c>
      <c r="R23" s="546">
        <v>0.95</v>
      </c>
      <c r="S23" s="546">
        <v>0.95</v>
      </c>
      <c r="T23" s="546">
        <v>0.95</v>
      </c>
    </row>
    <row r="24" spans="1:20" ht="13.5">
      <c r="A24" s="807" t="s">
        <v>2126</v>
      </c>
      <c r="B24" s="808"/>
      <c r="C24" s="556" t="s">
        <v>2504</v>
      </c>
      <c r="D24" s="556">
        <f>D25+D26+D27+D28+D29</f>
        <v>102</v>
      </c>
      <c r="E24" s="556">
        <f>E25+E26+E29</f>
        <v>1039.5500000000002</v>
      </c>
      <c r="F24" s="556">
        <f>F25+F26+F27+F28+F29</f>
        <v>87</v>
      </c>
      <c r="G24" s="557">
        <f>G25+G26+G27+G28</f>
        <v>796.8000000000001</v>
      </c>
      <c r="H24" s="556"/>
      <c r="I24" s="556"/>
      <c r="J24" s="556"/>
      <c r="K24" s="557"/>
      <c r="L24" s="556">
        <f aca="true" t="shared" si="3" ref="L24:Q24">L25+L26+L27+L28+L29</f>
        <v>1836.3500000000001</v>
      </c>
      <c r="M24" s="556">
        <f t="shared" si="3"/>
        <v>189</v>
      </c>
      <c r="N24" s="556">
        <f t="shared" si="3"/>
        <v>2.655</v>
      </c>
      <c r="O24" s="556">
        <f t="shared" si="3"/>
        <v>2174.4399999999996</v>
      </c>
      <c r="P24" s="556">
        <f t="shared" si="3"/>
        <v>232</v>
      </c>
      <c r="Q24" s="556">
        <f t="shared" si="3"/>
        <v>14</v>
      </c>
      <c r="R24" s="556"/>
      <c r="S24" s="556"/>
      <c r="T24" s="556"/>
    </row>
    <row r="25" spans="1:20" ht="13.5">
      <c r="A25" s="809" t="s">
        <v>2505</v>
      </c>
      <c r="B25" s="810"/>
      <c r="C25" s="527" t="s">
        <v>2501</v>
      </c>
      <c r="D25" s="558">
        <v>49</v>
      </c>
      <c r="E25" s="558">
        <v>689.1</v>
      </c>
      <c r="F25" s="558">
        <v>24</v>
      </c>
      <c r="G25" s="558">
        <v>305.25</v>
      </c>
      <c r="H25" s="545" t="s">
        <v>2091</v>
      </c>
      <c r="I25" s="545" t="s">
        <v>2091</v>
      </c>
      <c r="J25" s="545" t="s">
        <v>2091</v>
      </c>
      <c r="K25" s="545" t="s">
        <v>2091</v>
      </c>
      <c r="L25" s="548">
        <v>994.35</v>
      </c>
      <c r="M25" s="559">
        <f>D25+F25</f>
        <v>73</v>
      </c>
      <c r="N25" s="558" t="s">
        <v>2506</v>
      </c>
      <c r="O25" s="558" t="s">
        <v>2507</v>
      </c>
      <c r="P25" s="558" t="s">
        <v>2127</v>
      </c>
      <c r="Q25" s="558"/>
      <c r="R25" s="546">
        <v>0.9</v>
      </c>
      <c r="S25" s="546">
        <v>0.9</v>
      </c>
      <c r="T25" s="546">
        <v>0.9</v>
      </c>
    </row>
    <row r="26" spans="1:20" ht="13.5">
      <c r="A26" s="811"/>
      <c r="B26" s="812"/>
      <c r="C26" s="554" t="s">
        <v>2502</v>
      </c>
      <c r="D26" s="528">
        <v>48</v>
      </c>
      <c r="E26" s="528">
        <v>268.81</v>
      </c>
      <c r="F26" s="528">
        <v>16</v>
      </c>
      <c r="G26" s="528">
        <v>85.77</v>
      </c>
      <c r="H26" s="548"/>
      <c r="I26" s="548"/>
      <c r="J26" s="548"/>
      <c r="K26" s="548"/>
      <c r="L26" s="548">
        <f>E26+G26</f>
        <v>354.58</v>
      </c>
      <c r="M26" s="548">
        <f>D26+F26</f>
        <v>64</v>
      </c>
      <c r="N26" s="529">
        <v>0.7091</v>
      </c>
      <c r="O26" s="558" t="s">
        <v>2508</v>
      </c>
      <c r="P26" s="558" t="s">
        <v>2509</v>
      </c>
      <c r="Q26" s="558"/>
      <c r="R26" s="546">
        <v>0.9</v>
      </c>
      <c r="S26" s="546">
        <v>0.9</v>
      </c>
      <c r="T26" s="546">
        <v>0.9</v>
      </c>
    </row>
    <row r="27" spans="1:20" ht="13.5">
      <c r="A27" s="811"/>
      <c r="B27" s="812"/>
      <c r="C27" s="554" t="s">
        <v>2495</v>
      </c>
      <c r="D27" s="558"/>
      <c r="E27" s="558"/>
      <c r="F27" s="560" t="s">
        <v>2510</v>
      </c>
      <c r="G27" s="560" t="s">
        <v>2511</v>
      </c>
      <c r="H27" s="545" t="s">
        <v>2091</v>
      </c>
      <c r="I27" s="545" t="s">
        <v>2091</v>
      </c>
      <c r="J27" s="545" t="s">
        <v>2091</v>
      </c>
      <c r="K27" s="545" t="s">
        <v>2091</v>
      </c>
      <c r="L27" s="545">
        <v>325.91</v>
      </c>
      <c r="M27" s="545">
        <v>38</v>
      </c>
      <c r="N27" s="558" t="s">
        <v>2512</v>
      </c>
      <c r="O27" s="560" t="s">
        <v>2513</v>
      </c>
      <c r="P27" s="560" t="s">
        <v>2510</v>
      </c>
      <c r="Q27" s="560"/>
      <c r="R27" s="546">
        <v>0.95</v>
      </c>
      <c r="S27" s="546">
        <v>0.95</v>
      </c>
      <c r="T27" s="546">
        <v>0.95</v>
      </c>
    </row>
    <row r="28" spans="1:20" ht="13.5">
      <c r="A28" s="811"/>
      <c r="B28" s="812"/>
      <c r="C28" s="554" t="s">
        <v>2498</v>
      </c>
      <c r="D28" s="558"/>
      <c r="E28" s="558"/>
      <c r="F28" s="549">
        <v>9</v>
      </c>
      <c r="G28" s="558" t="s">
        <v>2514</v>
      </c>
      <c r="H28" s="545" t="s">
        <v>2091</v>
      </c>
      <c r="I28" s="545" t="s">
        <v>2091</v>
      </c>
      <c r="J28" s="545" t="s">
        <v>2091</v>
      </c>
      <c r="K28" s="545" t="s">
        <v>2091</v>
      </c>
      <c r="L28" s="561" t="str">
        <f>G28</f>
        <v>79.87</v>
      </c>
      <c r="M28" s="545">
        <v>9</v>
      </c>
      <c r="N28" s="558" t="s">
        <v>2515</v>
      </c>
      <c r="O28" s="558" t="s">
        <v>2516</v>
      </c>
      <c r="P28" s="558" t="s">
        <v>2517</v>
      </c>
      <c r="Q28" s="558" t="s">
        <v>2517</v>
      </c>
      <c r="R28" s="546">
        <v>0.95</v>
      </c>
      <c r="S28" s="546">
        <v>0.95</v>
      </c>
      <c r="T28" s="546">
        <v>0.95</v>
      </c>
    </row>
    <row r="29" spans="1:20" ht="13.5">
      <c r="A29" s="811"/>
      <c r="B29" s="812"/>
      <c r="C29" s="554" t="s">
        <v>2499</v>
      </c>
      <c r="D29" s="558" t="s">
        <v>2504</v>
      </c>
      <c r="E29" s="558" t="s">
        <v>2518</v>
      </c>
      <c r="F29" s="558"/>
      <c r="G29" s="558"/>
      <c r="H29" s="545"/>
      <c r="I29" s="545"/>
      <c r="J29" s="545"/>
      <c r="K29" s="545"/>
      <c r="L29" s="559" t="s">
        <v>2518</v>
      </c>
      <c r="M29" s="545">
        <v>5</v>
      </c>
      <c r="N29" s="558" t="s">
        <v>2519</v>
      </c>
      <c r="O29" s="558" t="s">
        <v>2520</v>
      </c>
      <c r="P29" s="558" t="s">
        <v>2504</v>
      </c>
      <c r="Q29" s="558" t="s">
        <v>2504</v>
      </c>
      <c r="R29" s="546">
        <v>0.95</v>
      </c>
      <c r="S29" s="546">
        <v>0.95</v>
      </c>
      <c r="T29" s="546">
        <v>0.95</v>
      </c>
    </row>
    <row r="30" spans="1:20" ht="13.5">
      <c r="A30" s="813" t="s">
        <v>2128</v>
      </c>
      <c r="B30" s="813"/>
      <c r="C30" s="527"/>
      <c r="D30" s="558"/>
      <c r="E30" s="558"/>
      <c r="F30" s="558"/>
      <c r="G30" s="558"/>
      <c r="H30" s="545" t="s">
        <v>2091</v>
      </c>
      <c r="I30" s="545" t="s">
        <v>2091</v>
      </c>
      <c r="J30" s="545" t="s">
        <v>2091</v>
      </c>
      <c r="K30" s="545" t="s">
        <v>2091</v>
      </c>
      <c r="L30" s="545" t="s">
        <v>2091</v>
      </c>
      <c r="M30" s="545"/>
      <c r="N30" s="558"/>
      <c r="O30" s="545" t="s">
        <v>2091</v>
      </c>
      <c r="P30" s="545" t="s">
        <v>2091</v>
      </c>
      <c r="Q30" s="545"/>
      <c r="R30" s="545" t="s">
        <v>2091</v>
      </c>
      <c r="S30" s="545" t="s">
        <v>2091</v>
      </c>
      <c r="T30" s="545" t="s">
        <v>2091</v>
      </c>
    </row>
    <row r="31" spans="1:20" ht="13.5">
      <c r="A31" s="814" t="s">
        <v>2129</v>
      </c>
      <c r="B31" s="814"/>
      <c r="C31" s="814"/>
      <c r="D31" s="814"/>
      <c r="E31" s="814"/>
      <c r="F31" s="814"/>
      <c r="G31" s="814"/>
      <c r="H31" s="814"/>
      <c r="I31" s="814"/>
      <c r="J31" s="814"/>
      <c r="K31" s="814"/>
      <c r="L31" s="814"/>
      <c r="M31" s="814"/>
      <c r="N31" s="814"/>
      <c r="O31" s="814"/>
      <c r="P31" s="814"/>
      <c r="Q31" s="814"/>
      <c r="R31" s="814"/>
      <c r="S31" s="814"/>
      <c r="T31" s="814"/>
    </row>
  </sheetData>
  <sheetProtection/>
  <mergeCells count="17">
    <mergeCell ref="B12:B15"/>
    <mergeCell ref="B17:B23"/>
    <mergeCell ref="L3:L4"/>
    <mergeCell ref="A3:B6"/>
    <mergeCell ref="C3:C6"/>
    <mergeCell ref="D3:E3"/>
    <mergeCell ref="F3:G3"/>
    <mergeCell ref="A24:B24"/>
    <mergeCell ref="A25:B29"/>
    <mergeCell ref="A30:B30"/>
    <mergeCell ref="A31:T31"/>
    <mergeCell ref="A1:T1"/>
    <mergeCell ref="M3:T3"/>
    <mergeCell ref="A7:B7"/>
    <mergeCell ref="B9:B10"/>
    <mergeCell ref="H3:K3"/>
    <mergeCell ref="A8:A23"/>
  </mergeCells>
  <printOptions/>
  <pageMargins left="0.9448818897637796" right="0.38" top="0.7480314960629921" bottom="0.7480314960629921" header="0.31496062992125984" footer="0.31496062992125984"/>
  <pageSetup horizontalDpi="600" verticalDpi="600" orientation="landscape" paperSize="9" scale="85" r:id="rId1"/>
  <headerFooter>
    <oddFooter>&amp;C第 &amp;P 页，共 &amp;N 页</oddFooter>
  </headerFooter>
</worksheet>
</file>

<file path=xl/worksheets/sheet13.xml><?xml version="1.0" encoding="utf-8"?>
<worksheet xmlns="http://schemas.openxmlformats.org/spreadsheetml/2006/main" xmlns:r="http://schemas.openxmlformats.org/officeDocument/2006/relationships">
  <sheetPr>
    <tabColor rgb="FFFF0000"/>
  </sheetPr>
  <dimension ref="A1:T97"/>
  <sheetViews>
    <sheetView showZero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S88" sqref="S88"/>
    </sheetView>
  </sheetViews>
  <sheetFormatPr defaultColWidth="9.00390625" defaultRowHeight="13.5"/>
  <cols>
    <col min="1" max="1" width="6.00390625" style="0" customWidth="1"/>
    <col min="2" max="2" width="6.25390625" style="0" customWidth="1"/>
    <col min="3" max="3" width="7.75390625" style="0" customWidth="1"/>
    <col min="5" max="5" width="10.875" style="0" customWidth="1"/>
    <col min="8" max="8" width="4.75390625" style="223" customWidth="1"/>
    <col min="10" max="10" width="5.875" style="223" customWidth="1"/>
    <col min="11" max="11" width="10.25390625" style="0" customWidth="1"/>
    <col min="12" max="13" width="5.75390625" style="223" customWidth="1"/>
    <col min="15" max="15" width="4.625" style="223" customWidth="1"/>
    <col min="16" max="16" width="7.50390625" style="0" customWidth="1"/>
    <col min="18" max="18" width="10.00390625" style="0" customWidth="1"/>
    <col min="19" max="19" width="8.375" style="0" customWidth="1"/>
  </cols>
  <sheetData>
    <row r="1" spans="1:19" ht="20.25">
      <c r="A1" s="757" t="s">
        <v>430</v>
      </c>
      <c r="B1" s="757"/>
      <c r="C1" s="757"/>
      <c r="D1" s="757"/>
      <c r="E1" s="757"/>
      <c r="F1" s="757"/>
      <c r="G1" s="757"/>
      <c r="H1" s="757"/>
      <c r="I1" s="757"/>
      <c r="J1" s="757"/>
      <c r="K1" s="757"/>
      <c r="L1" s="757"/>
      <c r="M1" s="757"/>
      <c r="N1" s="757"/>
      <c r="O1" s="757"/>
      <c r="P1" s="757"/>
      <c r="Q1" s="757"/>
      <c r="R1" s="757"/>
      <c r="S1" s="757"/>
    </row>
    <row r="2" spans="1:19" s="30" customFormat="1" ht="26.25" customHeight="1">
      <c r="A2" s="830" t="s">
        <v>431</v>
      </c>
      <c r="B2" s="830" t="s">
        <v>432</v>
      </c>
      <c r="C2" s="830" t="s">
        <v>433</v>
      </c>
      <c r="D2" s="830" t="s">
        <v>434</v>
      </c>
      <c r="E2" s="830" t="s">
        <v>435</v>
      </c>
      <c r="F2" s="830" t="s">
        <v>436</v>
      </c>
      <c r="G2" s="830"/>
      <c r="H2" s="830" t="s">
        <v>437</v>
      </c>
      <c r="I2" s="830"/>
      <c r="J2" s="830" t="s">
        <v>438</v>
      </c>
      <c r="K2" s="830"/>
      <c r="L2" s="478" t="s">
        <v>439</v>
      </c>
      <c r="M2" s="830" t="s">
        <v>440</v>
      </c>
      <c r="N2" s="830"/>
      <c r="O2" s="830" t="s">
        <v>441</v>
      </c>
      <c r="P2" s="830"/>
      <c r="Q2" s="831" t="s">
        <v>442</v>
      </c>
      <c r="R2" s="831"/>
      <c r="S2" s="831"/>
    </row>
    <row r="3" spans="1:19" s="30" customFormat="1" ht="24">
      <c r="A3" s="830"/>
      <c r="B3" s="830"/>
      <c r="C3" s="830"/>
      <c r="D3" s="830"/>
      <c r="E3" s="830"/>
      <c r="F3" s="264" t="s">
        <v>443</v>
      </c>
      <c r="G3" s="264" t="s">
        <v>444</v>
      </c>
      <c r="H3" s="478" t="s">
        <v>443</v>
      </c>
      <c r="I3" s="264" t="s">
        <v>444</v>
      </c>
      <c r="J3" s="478" t="s">
        <v>445</v>
      </c>
      <c r="K3" s="264" t="s">
        <v>446</v>
      </c>
      <c r="L3" s="478" t="s">
        <v>447</v>
      </c>
      <c r="M3" s="478" t="s">
        <v>447</v>
      </c>
      <c r="N3" s="264" t="s">
        <v>448</v>
      </c>
      <c r="O3" s="478" t="s">
        <v>449</v>
      </c>
      <c r="P3" s="264" t="s">
        <v>450</v>
      </c>
      <c r="Q3" s="264" t="s">
        <v>451</v>
      </c>
      <c r="R3" s="264" t="s">
        <v>452</v>
      </c>
      <c r="S3" s="264" t="s">
        <v>453</v>
      </c>
    </row>
    <row r="4" spans="1:19" s="102" customFormat="1" ht="24">
      <c r="A4" s="424" t="s">
        <v>454</v>
      </c>
      <c r="B4" s="424"/>
      <c r="C4" s="424">
        <f>C5+C11+C18+C25+C50+C64+C72+C88</f>
        <v>41</v>
      </c>
      <c r="D4" s="424"/>
      <c r="E4" s="425">
        <f>E5+E11+E18+E25+E50+E64+E72+E88</f>
        <v>49703.729999999996</v>
      </c>
      <c r="F4" s="425">
        <f aca="true" t="shared" si="0" ref="F4:S4">F5+F11+F18+F25+F50+F64+F72+F88</f>
        <v>915</v>
      </c>
      <c r="G4" s="425">
        <f t="shared" si="0"/>
        <v>859.4499999999998</v>
      </c>
      <c r="H4" s="479">
        <f t="shared" si="0"/>
        <v>133</v>
      </c>
      <c r="I4" s="425">
        <f t="shared" si="0"/>
        <v>205.60000000000002</v>
      </c>
      <c r="J4" s="479">
        <f t="shared" si="0"/>
        <v>3717</v>
      </c>
      <c r="K4" s="425">
        <f t="shared" si="0"/>
        <v>77460</v>
      </c>
      <c r="L4" s="479">
        <f t="shared" si="0"/>
        <v>805</v>
      </c>
      <c r="M4" s="479">
        <f t="shared" si="0"/>
        <v>80</v>
      </c>
      <c r="N4" s="425">
        <f t="shared" si="0"/>
        <v>2435.5</v>
      </c>
      <c r="O4" s="479">
        <f t="shared" si="0"/>
        <v>13</v>
      </c>
      <c r="P4" s="425">
        <f t="shared" si="0"/>
        <v>1.4931</v>
      </c>
      <c r="Q4" s="425">
        <f t="shared" si="0"/>
        <v>2.0181500000000003</v>
      </c>
      <c r="R4" s="425">
        <f t="shared" si="0"/>
        <v>7.233910000000001</v>
      </c>
      <c r="S4" s="425">
        <f t="shared" si="0"/>
        <v>9.7237</v>
      </c>
    </row>
    <row r="5" spans="1:19" s="93" customFormat="1" ht="12">
      <c r="A5" s="424"/>
      <c r="B5" s="426" t="s">
        <v>2356</v>
      </c>
      <c r="C5" s="426">
        <v>5</v>
      </c>
      <c r="D5" s="424">
        <v>2016</v>
      </c>
      <c r="E5" s="425">
        <f>SUM(E6:E10)</f>
        <v>2230.9700000000003</v>
      </c>
      <c r="F5" s="425">
        <f aca="true" t="shared" si="1" ref="F5:S5">SUM(F6:F10)</f>
        <v>54</v>
      </c>
      <c r="G5" s="425">
        <f t="shared" si="1"/>
        <v>65.867</v>
      </c>
      <c r="H5" s="479">
        <f t="shared" si="1"/>
        <v>0</v>
      </c>
      <c r="I5" s="425">
        <f t="shared" si="1"/>
        <v>0</v>
      </c>
      <c r="J5" s="479">
        <f t="shared" si="1"/>
        <v>0</v>
      </c>
      <c r="K5" s="425">
        <f t="shared" si="1"/>
        <v>0</v>
      </c>
      <c r="L5" s="479">
        <f t="shared" si="1"/>
        <v>40</v>
      </c>
      <c r="M5" s="479">
        <f t="shared" si="1"/>
        <v>2</v>
      </c>
      <c r="N5" s="425">
        <f t="shared" si="1"/>
        <v>110</v>
      </c>
      <c r="O5" s="479">
        <f t="shared" si="1"/>
        <v>0</v>
      </c>
      <c r="P5" s="425">
        <f t="shared" si="1"/>
        <v>0</v>
      </c>
      <c r="Q5" s="425">
        <f t="shared" si="1"/>
        <v>0</v>
      </c>
      <c r="R5" s="425">
        <f t="shared" si="1"/>
        <v>0.39920000000000005</v>
      </c>
      <c r="S5" s="425">
        <f t="shared" si="1"/>
        <v>0</v>
      </c>
    </row>
    <row r="6" spans="1:19" s="30" customFormat="1" ht="12">
      <c r="A6" s="264"/>
      <c r="B6" s="296">
        <v>1</v>
      </c>
      <c r="C6" s="15" t="s">
        <v>455</v>
      </c>
      <c r="D6" s="427" t="s">
        <v>1621</v>
      </c>
      <c r="E6" s="16">
        <v>645.8</v>
      </c>
      <c r="F6" s="15">
        <v>23</v>
      </c>
      <c r="G6" s="15">
        <v>25.2</v>
      </c>
      <c r="H6" s="480"/>
      <c r="I6" s="15"/>
      <c r="J6" s="480"/>
      <c r="K6" s="15"/>
      <c r="L6" s="480">
        <v>8</v>
      </c>
      <c r="M6" s="480"/>
      <c r="N6" s="15"/>
      <c r="O6" s="480"/>
      <c r="P6" s="15"/>
      <c r="Q6" s="15"/>
      <c r="R6" s="15">
        <v>0.097</v>
      </c>
      <c r="S6" s="296"/>
    </row>
    <row r="7" spans="1:19" s="30" customFormat="1" ht="12">
      <c r="A7" s="264"/>
      <c r="B7" s="296">
        <v>2</v>
      </c>
      <c r="C7" s="15" t="s">
        <v>456</v>
      </c>
      <c r="D7" s="427" t="s">
        <v>1621</v>
      </c>
      <c r="E7" s="16">
        <v>453.21</v>
      </c>
      <c r="F7" s="15">
        <v>6</v>
      </c>
      <c r="G7" s="15">
        <v>6.9</v>
      </c>
      <c r="H7" s="480"/>
      <c r="I7" s="15"/>
      <c r="J7" s="480"/>
      <c r="K7" s="15"/>
      <c r="L7" s="480">
        <v>8</v>
      </c>
      <c r="M7" s="480"/>
      <c r="N7" s="15"/>
      <c r="O7" s="480"/>
      <c r="P7" s="15"/>
      <c r="Q7" s="15"/>
      <c r="R7" s="15">
        <v>0.033</v>
      </c>
      <c r="S7" s="296"/>
    </row>
    <row r="8" spans="1:19" s="30" customFormat="1" ht="12">
      <c r="A8" s="264"/>
      <c r="B8" s="296">
        <v>3</v>
      </c>
      <c r="C8" s="15" t="s">
        <v>457</v>
      </c>
      <c r="D8" s="427" t="s">
        <v>1621</v>
      </c>
      <c r="E8" s="16">
        <v>680.95</v>
      </c>
      <c r="F8" s="15">
        <v>19</v>
      </c>
      <c r="G8" s="15">
        <v>23.567</v>
      </c>
      <c r="H8" s="480"/>
      <c r="I8" s="15"/>
      <c r="J8" s="480"/>
      <c r="K8" s="15"/>
      <c r="L8" s="480">
        <v>16</v>
      </c>
      <c r="M8" s="480"/>
      <c r="N8" s="15"/>
      <c r="O8" s="480"/>
      <c r="P8" s="15"/>
      <c r="Q8" s="15"/>
      <c r="R8" s="15">
        <v>0.1297</v>
      </c>
      <c r="S8" s="296"/>
    </row>
    <row r="9" spans="1:19" s="30" customFormat="1" ht="12">
      <c r="A9" s="264"/>
      <c r="B9" s="296">
        <v>4</v>
      </c>
      <c r="C9" s="15" t="s">
        <v>458</v>
      </c>
      <c r="D9" s="427" t="s">
        <v>1621</v>
      </c>
      <c r="E9" s="16">
        <v>223</v>
      </c>
      <c r="F9" s="15">
        <v>1</v>
      </c>
      <c r="G9" s="15">
        <v>2.5</v>
      </c>
      <c r="H9" s="480"/>
      <c r="I9" s="15"/>
      <c r="J9" s="480"/>
      <c r="K9" s="15"/>
      <c r="L9" s="480">
        <v>7</v>
      </c>
      <c r="M9" s="480">
        <v>2</v>
      </c>
      <c r="N9" s="15">
        <v>110</v>
      </c>
      <c r="O9" s="480"/>
      <c r="P9" s="15"/>
      <c r="Q9" s="15"/>
      <c r="R9" s="15">
        <v>0.0835</v>
      </c>
      <c r="S9" s="296"/>
    </row>
    <row r="10" spans="1:19" s="30" customFormat="1" ht="12">
      <c r="A10" s="264"/>
      <c r="B10" s="296">
        <v>5</v>
      </c>
      <c r="C10" s="296" t="s">
        <v>459</v>
      </c>
      <c r="D10" s="427" t="s">
        <v>1621</v>
      </c>
      <c r="E10" s="16">
        <v>228.01</v>
      </c>
      <c r="F10" s="15">
        <v>5</v>
      </c>
      <c r="G10" s="15">
        <v>7.7</v>
      </c>
      <c r="H10" s="480"/>
      <c r="I10" s="15"/>
      <c r="J10" s="480"/>
      <c r="K10" s="15"/>
      <c r="L10" s="480">
        <v>1</v>
      </c>
      <c r="M10" s="480"/>
      <c r="N10" s="15"/>
      <c r="O10" s="480"/>
      <c r="P10" s="15"/>
      <c r="Q10" s="15"/>
      <c r="R10" s="15">
        <v>0.056</v>
      </c>
      <c r="S10" s="296"/>
    </row>
    <row r="11" spans="1:19" s="93" customFormat="1" ht="12">
      <c r="A11" s="424"/>
      <c r="B11" s="426" t="s">
        <v>2356</v>
      </c>
      <c r="C11" s="426">
        <v>6</v>
      </c>
      <c r="D11" s="424">
        <v>2017</v>
      </c>
      <c r="E11" s="428">
        <f>SUM(E12:E17)</f>
        <v>3552.35</v>
      </c>
      <c r="F11" s="428">
        <f aca="true" t="shared" si="2" ref="F11:S11">SUM(F12:F17)</f>
        <v>49</v>
      </c>
      <c r="G11" s="428">
        <f t="shared" si="2"/>
        <v>103.773</v>
      </c>
      <c r="H11" s="481">
        <f t="shared" si="2"/>
        <v>1</v>
      </c>
      <c r="I11" s="428">
        <f t="shared" si="2"/>
        <v>30</v>
      </c>
      <c r="J11" s="481">
        <f t="shared" si="2"/>
        <v>0</v>
      </c>
      <c r="K11" s="428">
        <f t="shared" si="2"/>
        <v>0</v>
      </c>
      <c r="L11" s="481">
        <f t="shared" si="2"/>
        <v>26</v>
      </c>
      <c r="M11" s="481">
        <f t="shared" si="2"/>
        <v>4</v>
      </c>
      <c r="N11" s="428">
        <f t="shared" si="2"/>
        <v>175</v>
      </c>
      <c r="O11" s="481">
        <f t="shared" si="2"/>
        <v>0</v>
      </c>
      <c r="P11" s="428">
        <f t="shared" si="2"/>
        <v>0</v>
      </c>
      <c r="Q11" s="428">
        <f t="shared" si="2"/>
        <v>0</v>
      </c>
      <c r="R11" s="428">
        <f t="shared" si="2"/>
        <v>0.2587</v>
      </c>
      <c r="S11" s="428">
        <f t="shared" si="2"/>
        <v>0.446</v>
      </c>
    </row>
    <row r="12" spans="1:19" s="30" customFormat="1" ht="12">
      <c r="A12" s="264"/>
      <c r="B12" s="296">
        <v>1</v>
      </c>
      <c r="C12" s="296" t="s">
        <v>460</v>
      </c>
      <c r="D12" s="427" t="s">
        <v>1621</v>
      </c>
      <c r="E12" s="16">
        <v>675.47</v>
      </c>
      <c r="F12" s="15">
        <v>12</v>
      </c>
      <c r="G12" s="15">
        <v>20.363</v>
      </c>
      <c r="H12" s="480"/>
      <c r="I12" s="15"/>
      <c r="J12" s="480"/>
      <c r="K12" s="15"/>
      <c r="L12" s="480">
        <v>5</v>
      </c>
      <c r="M12" s="480"/>
      <c r="N12" s="15"/>
      <c r="O12" s="480"/>
      <c r="P12" s="15"/>
      <c r="Q12" s="15"/>
      <c r="R12" s="15">
        <v>0.073</v>
      </c>
      <c r="S12" s="15"/>
    </row>
    <row r="13" spans="1:19" s="30" customFormat="1" ht="12">
      <c r="A13" s="264"/>
      <c r="B13" s="296">
        <v>2</v>
      </c>
      <c r="C13" s="296" t="s">
        <v>461</v>
      </c>
      <c r="D13" s="427" t="s">
        <v>1621</v>
      </c>
      <c r="E13" s="16">
        <v>487.94</v>
      </c>
      <c r="F13" s="15">
        <v>8</v>
      </c>
      <c r="G13" s="15">
        <v>11.83</v>
      </c>
      <c r="H13" s="480"/>
      <c r="I13" s="15"/>
      <c r="J13" s="480"/>
      <c r="K13" s="15"/>
      <c r="L13" s="480">
        <v>7</v>
      </c>
      <c r="M13" s="480"/>
      <c r="N13" s="15"/>
      <c r="O13" s="480"/>
      <c r="P13" s="15"/>
      <c r="Q13" s="15"/>
      <c r="R13" s="15">
        <v>0.0352</v>
      </c>
      <c r="S13" s="15"/>
    </row>
    <row r="14" spans="1:19" s="30" customFormat="1" ht="12">
      <c r="A14" s="264"/>
      <c r="B14" s="296">
        <v>3</v>
      </c>
      <c r="C14" s="296" t="s">
        <v>462</v>
      </c>
      <c r="D14" s="427" t="s">
        <v>1621</v>
      </c>
      <c r="E14" s="16">
        <v>936.45</v>
      </c>
      <c r="F14" s="15">
        <v>6</v>
      </c>
      <c r="G14" s="15">
        <v>18.74</v>
      </c>
      <c r="H14" s="480">
        <v>1</v>
      </c>
      <c r="I14" s="15">
        <v>30</v>
      </c>
      <c r="J14" s="480"/>
      <c r="K14" s="15"/>
      <c r="L14" s="480"/>
      <c r="M14" s="480">
        <v>1</v>
      </c>
      <c r="N14" s="15">
        <v>50</v>
      </c>
      <c r="O14" s="480"/>
      <c r="P14" s="15"/>
      <c r="Q14" s="15"/>
      <c r="R14" s="15">
        <v>0.037</v>
      </c>
      <c r="S14" s="15">
        <v>0.4</v>
      </c>
    </row>
    <row r="15" spans="1:19" s="30" customFormat="1" ht="12">
      <c r="A15" s="264"/>
      <c r="B15" s="296">
        <v>4</v>
      </c>
      <c r="C15" s="296" t="s">
        <v>463</v>
      </c>
      <c r="D15" s="427" t="s">
        <v>1621</v>
      </c>
      <c r="E15" s="16">
        <v>258</v>
      </c>
      <c r="F15" s="15">
        <v>5</v>
      </c>
      <c r="G15" s="15">
        <v>5.9</v>
      </c>
      <c r="H15" s="480"/>
      <c r="I15" s="15"/>
      <c r="J15" s="480"/>
      <c r="K15" s="15"/>
      <c r="L15" s="480">
        <v>1</v>
      </c>
      <c r="M15" s="480">
        <v>1</v>
      </c>
      <c r="N15" s="15">
        <v>55</v>
      </c>
      <c r="O15" s="480"/>
      <c r="P15" s="15"/>
      <c r="Q15" s="15"/>
      <c r="R15" s="15">
        <v>0.0325</v>
      </c>
      <c r="S15" s="15"/>
    </row>
    <row r="16" spans="1:19" s="30" customFormat="1" ht="12">
      <c r="A16" s="264"/>
      <c r="B16" s="296">
        <v>5</v>
      </c>
      <c r="C16" s="296" t="s">
        <v>464</v>
      </c>
      <c r="D16" s="427" t="s">
        <v>1621</v>
      </c>
      <c r="E16" s="16">
        <v>766.29</v>
      </c>
      <c r="F16" s="15">
        <v>11</v>
      </c>
      <c r="G16" s="15">
        <v>35.5</v>
      </c>
      <c r="H16" s="480"/>
      <c r="I16" s="15"/>
      <c r="J16" s="480"/>
      <c r="K16" s="15"/>
      <c r="L16" s="480">
        <v>4</v>
      </c>
      <c r="M16" s="480">
        <v>2</v>
      </c>
      <c r="N16" s="15">
        <v>70</v>
      </c>
      <c r="O16" s="480"/>
      <c r="P16" s="15"/>
      <c r="Q16" s="15"/>
      <c r="R16" s="15">
        <v>0.052</v>
      </c>
      <c r="S16" s="15">
        <v>0.046</v>
      </c>
    </row>
    <row r="17" spans="1:19" s="30" customFormat="1" ht="12">
      <c r="A17" s="264"/>
      <c r="B17" s="296">
        <v>6</v>
      </c>
      <c r="C17" s="296" t="s">
        <v>465</v>
      </c>
      <c r="D17" s="427" t="s">
        <v>1621</v>
      </c>
      <c r="E17" s="16">
        <v>428.2</v>
      </c>
      <c r="F17" s="15">
        <v>7</v>
      </c>
      <c r="G17" s="15">
        <v>11.44</v>
      </c>
      <c r="H17" s="480"/>
      <c r="I17" s="15"/>
      <c r="J17" s="480"/>
      <c r="K17" s="15"/>
      <c r="L17" s="480">
        <v>9</v>
      </c>
      <c r="M17" s="480"/>
      <c r="N17" s="15"/>
      <c r="O17" s="480"/>
      <c r="P17" s="15"/>
      <c r="Q17" s="15"/>
      <c r="R17" s="15">
        <v>0.029</v>
      </c>
      <c r="S17" s="15"/>
    </row>
    <row r="18" spans="1:19" s="93" customFormat="1" ht="12">
      <c r="A18" s="424"/>
      <c r="B18" s="424" t="s">
        <v>466</v>
      </c>
      <c r="C18" s="426">
        <v>6</v>
      </c>
      <c r="D18" s="424"/>
      <c r="E18" s="429">
        <f>SUM(E19:E24)</f>
        <v>11808</v>
      </c>
      <c r="F18" s="429">
        <f aca="true" t="shared" si="3" ref="F18:S18">SUM(F19:F24)</f>
        <v>59</v>
      </c>
      <c r="G18" s="429">
        <f t="shared" si="3"/>
        <v>93</v>
      </c>
      <c r="H18" s="482">
        <f t="shared" si="3"/>
        <v>27</v>
      </c>
      <c r="I18" s="429">
        <f t="shared" si="3"/>
        <v>49</v>
      </c>
      <c r="J18" s="482">
        <f t="shared" si="3"/>
        <v>24</v>
      </c>
      <c r="K18" s="429">
        <f t="shared" si="3"/>
        <v>3600</v>
      </c>
      <c r="L18" s="482">
        <f t="shared" si="3"/>
        <v>113</v>
      </c>
      <c r="M18" s="482">
        <f t="shared" si="3"/>
        <v>13</v>
      </c>
      <c r="N18" s="429">
        <f t="shared" si="3"/>
        <v>128</v>
      </c>
      <c r="O18" s="482">
        <f t="shared" si="3"/>
        <v>3</v>
      </c>
      <c r="P18" s="429">
        <f t="shared" si="3"/>
        <v>0.5201</v>
      </c>
      <c r="Q18" s="429">
        <f t="shared" si="3"/>
        <v>0.6121000000000001</v>
      </c>
      <c r="R18" s="429">
        <f t="shared" si="3"/>
        <v>0.892</v>
      </c>
      <c r="S18" s="429">
        <f t="shared" si="3"/>
        <v>1.0272000000000001</v>
      </c>
    </row>
    <row r="19" spans="1:19" s="30" customFormat="1" ht="12">
      <c r="A19" s="264"/>
      <c r="B19" s="325">
        <v>1</v>
      </c>
      <c r="C19" s="66" t="s">
        <v>467</v>
      </c>
      <c r="D19" s="427" t="s">
        <v>1621</v>
      </c>
      <c r="E19" s="66">
        <v>3064</v>
      </c>
      <c r="F19" s="66">
        <v>12</v>
      </c>
      <c r="G19" s="66">
        <v>21</v>
      </c>
      <c r="H19" s="222">
        <v>5</v>
      </c>
      <c r="I19" s="66">
        <v>16</v>
      </c>
      <c r="J19" s="222">
        <v>5</v>
      </c>
      <c r="K19" s="66">
        <v>1000</v>
      </c>
      <c r="L19" s="222">
        <v>25</v>
      </c>
      <c r="M19" s="222">
        <v>3</v>
      </c>
      <c r="N19" s="66">
        <v>30</v>
      </c>
      <c r="O19" s="478">
        <v>2</v>
      </c>
      <c r="P19" s="264">
        <v>0.4151</v>
      </c>
      <c r="Q19" s="66">
        <v>0.4301</v>
      </c>
      <c r="R19" s="66">
        <v>0.138</v>
      </c>
      <c r="S19" s="66">
        <v>0.1146</v>
      </c>
    </row>
    <row r="20" spans="1:19" s="30" customFormat="1" ht="12">
      <c r="A20" s="264"/>
      <c r="B20" s="264">
        <v>2</v>
      </c>
      <c r="C20" s="66" t="s">
        <v>468</v>
      </c>
      <c r="D20" s="427" t="s">
        <v>1621</v>
      </c>
      <c r="E20" s="66">
        <v>1700</v>
      </c>
      <c r="F20" s="66">
        <v>8</v>
      </c>
      <c r="G20" s="66">
        <v>15</v>
      </c>
      <c r="H20" s="222">
        <v>3</v>
      </c>
      <c r="I20" s="66">
        <v>10</v>
      </c>
      <c r="J20" s="222">
        <v>4</v>
      </c>
      <c r="K20" s="66">
        <v>100</v>
      </c>
      <c r="L20" s="222">
        <v>20</v>
      </c>
      <c r="M20" s="222">
        <v>2</v>
      </c>
      <c r="N20" s="66">
        <v>15</v>
      </c>
      <c r="O20" s="478"/>
      <c r="P20" s="264">
        <v>0</v>
      </c>
      <c r="Q20" s="66">
        <v>0.017</v>
      </c>
      <c r="R20" s="66">
        <v>0.162</v>
      </c>
      <c r="S20" s="66">
        <v>0.1845</v>
      </c>
    </row>
    <row r="21" spans="1:19" s="30" customFormat="1" ht="12">
      <c r="A21" s="264"/>
      <c r="B21" s="325">
        <v>3</v>
      </c>
      <c r="C21" s="66" t="s">
        <v>469</v>
      </c>
      <c r="D21" s="427" t="s">
        <v>1621</v>
      </c>
      <c r="E21" s="66">
        <v>1800</v>
      </c>
      <c r="F21" s="66">
        <v>16</v>
      </c>
      <c r="G21" s="66">
        <v>30</v>
      </c>
      <c r="H21" s="222">
        <v>4</v>
      </c>
      <c r="I21" s="66">
        <v>8</v>
      </c>
      <c r="J21" s="222">
        <v>6</v>
      </c>
      <c r="K21" s="66">
        <v>800</v>
      </c>
      <c r="L21" s="222">
        <v>32</v>
      </c>
      <c r="M21" s="222">
        <v>4</v>
      </c>
      <c r="N21" s="66">
        <v>35</v>
      </c>
      <c r="O21" s="478"/>
      <c r="P21" s="264">
        <v>0</v>
      </c>
      <c r="Q21" s="66">
        <v>0.024</v>
      </c>
      <c r="R21" s="66">
        <v>0.185</v>
      </c>
      <c r="S21" s="66">
        <v>0.2281</v>
      </c>
    </row>
    <row r="22" spans="1:19" s="30" customFormat="1" ht="12">
      <c r="A22" s="264"/>
      <c r="B22" s="264">
        <v>4</v>
      </c>
      <c r="C22" s="66" t="s">
        <v>470</v>
      </c>
      <c r="D22" s="427" t="s">
        <v>1621</v>
      </c>
      <c r="E22" s="66">
        <v>1700</v>
      </c>
      <c r="F22" s="66">
        <v>6</v>
      </c>
      <c r="G22" s="66">
        <v>6</v>
      </c>
      <c r="H22" s="222">
        <v>5</v>
      </c>
      <c r="I22" s="66">
        <v>5</v>
      </c>
      <c r="J22" s="222">
        <v>3</v>
      </c>
      <c r="K22" s="66">
        <v>500</v>
      </c>
      <c r="L22" s="222">
        <v>21</v>
      </c>
      <c r="M22" s="222">
        <v>2</v>
      </c>
      <c r="N22" s="66">
        <v>15</v>
      </c>
      <c r="O22" s="478"/>
      <c r="P22" s="264">
        <v>0</v>
      </c>
      <c r="Q22" s="66">
        <v>0.012</v>
      </c>
      <c r="R22" s="66">
        <v>0.156</v>
      </c>
      <c r="S22" s="66">
        <v>0.2185</v>
      </c>
    </row>
    <row r="23" spans="1:19" s="30" customFormat="1" ht="12">
      <c r="A23" s="264"/>
      <c r="B23" s="325">
        <v>5</v>
      </c>
      <c r="C23" s="66" t="s">
        <v>471</v>
      </c>
      <c r="D23" s="427" t="s">
        <v>1621</v>
      </c>
      <c r="E23" s="66">
        <v>2144</v>
      </c>
      <c r="F23" s="66">
        <v>7</v>
      </c>
      <c r="G23" s="66">
        <v>8</v>
      </c>
      <c r="H23" s="222">
        <v>6</v>
      </c>
      <c r="I23" s="66">
        <v>5</v>
      </c>
      <c r="J23" s="222">
        <v>3</v>
      </c>
      <c r="K23" s="66">
        <v>600</v>
      </c>
      <c r="L23" s="222">
        <v>12</v>
      </c>
      <c r="M23" s="222">
        <v>1</v>
      </c>
      <c r="N23" s="66">
        <v>22</v>
      </c>
      <c r="O23" s="478">
        <v>1</v>
      </c>
      <c r="P23" s="264">
        <v>0.105</v>
      </c>
      <c r="Q23" s="66">
        <v>0.119</v>
      </c>
      <c r="R23" s="66">
        <v>0.123</v>
      </c>
      <c r="S23" s="66">
        <v>0.1047</v>
      </c>
    </row>
    <row r="24" spans="1:19" s="30" customFormat="1" ht="12">
      <c r="A24" s="264"/>
      <c r="B24" s="264">
        <v>6</v>
      </c>
      <c r="C24" s="66" t="s">
        <v>472</v>
      </c>
      <c r="D24" s="427" t="s">
        <v>1621</v>
      </c>
      <c r="E24" s="66">
        <v>1400</v>
      </c>
      <c r="F24" s="66">
        <v>10</v>
      </c>
      <c r="G24" s="66">
        <v>13</v>
      </c>
      <c r="H24" s="222">
        <v>4</v>
      </c>
      <c r="I24" s="66">
        <v>5</v>
      </c>
      <c r="J24" s="222">
        <v>3</v>
      </c>
      <c r="K24" s="66">
        <v>600</v>
      </c>
      <c r="L24" s="222">
        <v>3</v>
      </c>
      <c r="M24" s="222">
        <v>1</v>
      </c>
      <c r="N24" s="66">
        <v>11</v>
      </c>
      <c r="O24" s="478"/>
      <c r="P24" s="264">
        <v>0</v>
      </c>
      <c r="Q24" s="66">
        <v>0.01</v>
      </c>
      <c r="R24" s="66">
        <v>0.128</v>
      </c>
      <c r="S24" s="66">
        <v>0.1768</v>
      </c>
    </row>
    <row r="25" spans="1:19" s="93" customFormat="1" ht="12">
      <c r="A25" s="424"/>
      <c r="B25" s="426" t="s">
        <v>473</v>
      </c>
      <c r="C25" s="426">
        <v>24</v>
      </c>
      <c r="D25" s="424"/>
      <c r="E25" s="424">
        <f>SUM(E26:E49)</f>
        <v>14096.990000000002</v>
      </c>
      <c r="F25" s="424">
        <f aca="true" t="shared" si="4" ref="F25:S25">SUM(F26:F49)</f>
        <v>417</v>
      </c>
      <c r="G25" s="424">
        <f t="shared" si="4"/>
        <v>368.97999999999996</v>
      </c>
      <c r="H25" s="479"/>
      <c r="I25" s="424"/>
      <c r="J25" s="479"/>
      <c r="K25" s="424"/>
      <c r="L25" s="479">
        <f t="shared" si="4"/>
        <v>281</v>
      </c>
      <c r="M25" s="479">
        <f t="shared" si="4"/>
        <v>0</v>
      </c>
      <c r="N25" s="424">
        <f t="shared" si="4"/>
        <v>0</v>
      </c>
      <c r="O25" s="479">
        <f t="shared" si="4"/>
        <v>0</v>
      </c>
      <c r="P25" s="424">
        <f t="shared" si="4"/>
        <v>0</v>
      </c>
      <c r="Q25" s="424">
        <f t="shared" si="4"/>
        <v>0</v>
      </c>
      <c r="R25" s="424">
        <f t="shared" si="4"/>
        <v>2.1694999999999998</v>
      </c>
      <c r="S25" s="424">
        <f t="shared" si="4"/>
        <v>2.5037000000000003</v>
      </c>
    </row>
    <row r="26" spans="1:19" s="30" customFormat="1" ht="12">
      <c r="A26" s="264"/>
      <c r="B26" s="296">
        <v>1</v>
      </c>
      <c r="C26" s="430" t="s">
        <v>474</v>
      </c>
      <c r="D26" s="427" t="s">
        <v>1621</v>
      </c>
      <c r="E26" s="431">
        <v>754.73</v>
      </c>
      <c r="F26" s="296">
        <v>9</v>
      </c>
      <c r="G26" s="296">
        <v>23.9</v>
      </c>
      <c r="H26" s="483"/>
      <c r="I26" s="296"/>
      <c r="J26" s="483"/>
      <c r="K26" s="296"/>
      <c r="L26" s="486">
        <v>9</v>
      </c>
      <c r="M26" s="483"/>
      <c r="N26" s="296"/>
      <c r="O26" s="483"/>
      <c r="P26" s="296"/>
      <c r="Q26" s="296"/>
      <c r="R26" s="296">
        <v>0.067</v>
      </c>
      <c r="S26" s="296">
        <v>0.156</v>
      </c>
    </row>
    <row r="27" spans="1:19" s="30" customFormat="1" ht="12">
      <c r="A27" s="264"/>
      <c r="B27" s="296">
        <v>2</v>
      </c>
      <c r="C27" s="298" t="s">
        <v>475</v>
      </c>
      <c r="D27" s="427" t="s">
        <v>1621</v>
      </c>
      <c r="E27" s="431">
        <v>377.48</v>
      </c>
      <c r="F27" s="296">
        <v>30</v>
      </c>
      <c r="G27" s="296">
        <v>19</v>
      </c>
      <c r="H27" s="483"/>
      <c r="I27" s="296"/>
      <c r="J27" s="483"/>
      <c r="K27" s="296"/>
      <c r="L27" s="486">
        <v>5</v>
      </c>
      <c r="M27" s="483"/>
      <c r="N27" s="296"/>
      <c r="O27" s="483"/>
      <c r="P27" s="296"/>
      <c r="Q27" s="296"/>
      <c r="R27" s="296">
        <v>0.0238</v>
      </c>
      <c r="S27" s="296">
        <v>0.123</v>
      </c>
    </row>
    <row r="28" spans="1:19" s="30" customFormat="1" ht="12">
      <c r="A28" s="264"/>
      <c r="B28" s="296">
        <v>3</v>
      </c>
      <c r="C28" s="298" t="s">
        <v>476</v>
      </c>
      <c r="D28" s="427" t="s">
        <v>1621</v>
      </c>
      <c r="E28" s="431">
        <v>824.66</v>
      </c>
      <c r="F28" s="296">
        <v>19</v>
      </c>
      <c r="G28" s="296">
        <v>30.6</v>
      </c>
      <c r="H28" s="483"/>
      <c r="I28" s="296"/>
      <c r="J28" s="483"/>
      <c r="K28" s="296"/>
      <c r="L28" s="486">
        <v>14</v>
      </c>
      <c r="M28" s="483"/>
      <c r="N28" s="296"/>
      <c r="O28" s="483"/>
      <c r="P28" s="296"/>
      <c r="Q28" s="296"/>
      <c r="R28" s="296">
        <v>0.0615</v>
      </c>
      <c r="S28" s="296">
        <v>0.056</v>
      </c>
    </row>
    <row r="29" spans="1:19" s="30" customFormat="1" ht="12">
      <c r="A29" s="264"/>
      <c r="B29" s="296">
        <v>4</v>
      </c>
      <c r="C29" s="298" t="s">
        <v>477</v>
      </c>
      <c r="D29" s="427" t="s">
        <v>1621</v>
      </c>
      <c r="E29" s="431">
        <v>708.28</v>
      </c>
      <c r="F29" s="296">
        <v>17</v>
      </c>
      <c r="G29" s="296">
        <v>17.6</v>
      </c>
      <c r="H29" s="483"/>
      <c r="I29" s="296"/>
      <c r="J29" s="483"/>
      <c r="K29" s="296"/>
      <c r="L29" s="486">
        <v>10</v>
      </c>
      <c r="M29" s="483"/>
      <c r="N29" s="296"/>
      <c r="O29" s="483"/>
      <c r="P29" s="296"/>
      <c r="Q29" s="296"/>
      <c r="R29" s="296">
        <v>0.0849</v>
      </c>
      <c r="S29" s="296">
        <v>0.133</v>
      </c>
    </row>
    <row r="30" spans="1:19" s="30" customFormat="1" ht="12">
      <c r="A30" s="264"/>
      <c r="B30" s="296">
        <v>5</v>
      </c>
      <c r="C30" s="298" t="s">
        <v>478</v>
      </c>
      <c r="D30" s="427" t="s">
        <v>1621</v>
      </c>
      <c r="E30" s="431">
        <v>260.39</v>
      </c>
      <c r="F30" s="296">
        <v>8</v>
      </c>
      <c r="G30" s="296">
        <v>7.4</v>
      </c>
      <c r="H30" s="483"/>
      <c r="I30" s="296"/>
      <c r="J30" s="483"/>
      <c r="K30" s="296"/>
      <c r="L30" s="486">
        <v>7</v>
      </c>
      <c r="M30" s="483"/>
      <c r="N30" s="296"/>
      <c r="O30" s="483"/>
      <c r="P30" s="296"/>
      <c r="Q30" s="296"/>
      <c r="R30" s="296">
        <v>0.0185</v>
      </c>
      <c r="S30" s="296">
        <v>0.105</v>
      </c>
    </row>
    <row r="31" spans="1:19" s="30" customFormat="1" ht="12">
      <c r="A31" s="264"/>
      <c r="B31" s="296">
        <v>6</v>
      </c>
      <c r="C31" s="298" t="s">
        <v>479</v>
      </c>
      <c r="D31" s="427" t="s">
        <v>1621</v>
      </c>
      <c r="E31" s="431">
        <v>465.79</v>
      </c>
      <c r="F31" s="296">
        <v>15</v>
      </c>
      <c r="G31" s="296">
        <v>16.6</v>
      </c>
      <c r="H31" s="483"/>
      <c r="I31" s="296"/>
      <c r="J31" s="483"/>
      <c r="K31" s="296"/>
      <c r="L31" s="486">
        <v>7</v>
      </c>
      <c r="M31" s="483"/>
      <c r="N31" s="296"/>
      <c r="O31" s="483"/>
      <c r="P31" s="296"/>
      <c r="Q31" s="296"/>
      <c r="R31" s="296">
        <v>0.0499</v>
      </c>
      <c r="S31" s="296">
        <v>0.146</v>
      </c>
    </row>
    <row r="32" spans="1:19" s="30" customFormat="1" ht="12">
      <c r="A32" s="264"/>
      <c r="B32" s="296">
        <v>7</v>
      </c>
      <c r="C32" s="298" t="s">
        <v>480</v>
      </c>
      <c r="D32" s="427" t="s">
        <v>1621</v>
      </c>
      <c r="E32" s="431">
        <v>457.19</v>
      </c>
      <c r="F32" s="296">
        <v>20</v>
      </c>
      <c r="G32" s="296">
        <v>20.8</v>
      </c>
      <c r="H32" s="483"/>
      <c r="I32" s="296"/>
      <c r="J32" s="483"/>
      <c r="K32" s="296"/>
      <c r="L32" s="486">
        <v>7</v>
      </c>
      <c r="M32" s="483"/>
      <c r="N32" s="296"/>
      <c r="O32" s="483"/>
      <c r="P32" s="296"/>
      <c r="Q32" s="296"/>
      <c r="R32" s="296">
        <v>0.055</v>
      </c>
      <c r="S32" s="296">
        <v>0.082</v>
      </c>
    </row>
    <row r="33" spans="1:19" s="30" customFormat="1" ht="12">
      <c r="A33" s="264"/>
      <c r="B33" s="296">
        <v>8</v>
      </c>
      <c r="C33" s="298" t="s">
        <v>481</v>
      </c>
      <c r="D33" s="427" t="s">
        <v>1621</v>
      </c>
      <c r="E33" s="431">
        <v>677.97</v>
      </c>
      <c r="F33" s="296">
        <v>10</v>
      </c>
      <c r="G33" s="296">
        <v>26.4</v>
      </c>
      <c r="H33" s="483"/>
      <c r="I33" s="296"/>
      <c r="J33" s="483"/>
      <c r="K33" s="296"/>
      <c r="L33" s="486">
        <v>15</v>
      </c>
      <c r="M33" s="483"/>
      <c r="N33" s="296"/>
      <c r="O33" s="483"/>
      <c r="P33" s="296"/>
      <c r="Q33" s="296"/>
      <c r="R33" s="296">
        <v>0.0823</v>
      </c>
      <c r="S33" s="296">
        <v>0.065</v>
      </c>
    </row>
    <row r="34" spans="1:19" s="30" customFormat="1" ht="12">
      <c r="A34" s="264"/>
      <c r="B34" s="296">
        <v>9</v>
      </c>
      <c r="C34" s="298" t="s">
        <v>482</v>
      </c>
      <c r="D34" s="427" t="s">
        <v>1621</v>
      </c>
      <c r="E34" s="431">
        <v>493.8</v>
      </c>
      <c r="F34" s="296">
        <v>6</v>
      </c>
      <c r="G34" s="296">
        <v>13.1</v>
      </c>
      <c r="H34" s="483"/>
      <c r="I34" s="296"/>
      <c r="J34" s="483"/>
      <c r="K34" s="296"/>
      <c r="L34" s="486">
        <v>10</v>
      </c>
      <c r="M34" s="483"/>
      <c r="N34" s="296"/>
      <c r="O34" s="483"/>
      <c r="P34" s="296"/>
      <c r="Q34" s="296"/>
      <c r="R34" s="296">
        <v>0.0953</v>
      </c>
      <c r="S34" s="296">
        <v>0.045</v>
      </c>
    </row>
    <row r="35" spans="1:19" s="30" customFormat="1" ht="12">
      <c r="A35" s="264"/>
      <c r="B35" s="296">
        <v>10</v>
      </c>
      <c r="C35" s="298" t="s">
        <v>483</v>
      </c>
      <c r="D35" s="427" t="s">
        <v>1621</v>
      </c>
      <c r="E35" s="431">
        <v>215.88</v>
      </c>
      <c r="F35" s="296">
        <v>2</v>
      </c>
      <c r="G35" s="296">
        <v>1.7</v>
      </c>
      <c r="H35" s="483"/>
      <c r="I35" s="296"/>
      <c r="J35" s="483"/>
      <c r="K35" s="296"/>
      <c r="L35" s="486">
        <v>6</v>
      </c>
      <c r="M35" s="483"/>
      <c r="N35" s="296"/>
      <c r="O35" s="483"/>
      <c r="P35" s="296"/>
      <c r="Q35" s="296"/>
      <c r="R35" s="296">
        <v>0.0276</v>
      </c>
      <c r="S35" s="296">
        <v>0.096</v>
      </c>
    </row>
    <row r="36" spans="1:19" s="30" customFormat="1" ht="12">
      <c r="A36" s="264"/>
      <c r="B36" s="296">
        <v>11</v>
      </c>
      <c r="C36" s="430" t="s">
        <v>484</v>
      </c>
      <c r="D36" s="427" t="s">
        <v>1621</v>
      </c>
      <c r="E36" s="431">
        <v>856.9</v>
      </c>
      <c r="F36" s="296">
        <v>16</v>
      </c>
      <c r="G36" s="296">
        <v>13.1</v>
      </c>
      <c r="H36" s="483"/>
      <c r="I36" s="296"/>
      <c r="J36" s="483"/>
      <c r="K36" s="296"/>
      <c r="L36" s="486">
        <v>25</v>
      </c>
      <c r="M36" s="483"/>
      <c r="N36" s="296"/>
      <c r="O36" s="483"/>
      <c r="P36" s="296"/>
      <c r="Q36" s="296"/>
      <c r="R36" s="296">
        <v>0.2063</v>
      </c>
      <c r="S36" s="296">
        <v>0.184</v>
      </c>
    </row>
    <row r="37" spans="1:19" s="30" customFormat="1" ht="12">
      <c r="A37" s="264"/>
      <c r="B37" s="296">
        <v>12</v>
      </c>
      <c r="C37" s="298" t="s">
        <v>485</v>
      </c>
      <c r="D37" s="427" t="s">
        <v>1621</v>
      </c>
      <c r="E37" s="431">
        <v>527.58</v>
      </c>
      <c r="F37" s="296">
        <v>19</v>
      </c>
      <c r="G37" s="296">
        <v>14.9</v>
      </c>
      <c r="H37" s="483"/>
      <c r="I37" s="296"/>
      <c r="J37" s="483"/>
      <c r="K37" s="296"/>
      <c r="L37" s="486">
        <v>12</v>
      </c>
      <c r="M37" s="483"/>
      <c r="N37" s="296"/>
      <c r="O37" s="483"/>
      <c r="P37" s="296"/>
      <c r="Q37" s="296"/>
      <c r="R37" s="296">
        <v>0.0876</v>
      </c>
      <c r="S37" s="296">
        <v>0.1703</v>
      </c>
    </row>
    <row r="38" spans="1:19" s="30" customFormat="1" ht="12">
      <c r="A38" s="264"/>
      <c r="B38" s="296">
        <v>13</v>
      </c>
      <c r="C38" s="298" t="s">
        <v>486</v>
      </c>
      <c r="D38" s="427" t="s">
        <v>1621</v>
      </c>
      <c r="E38" s="431">
        <v>100.46</v>
      </c>
      <c r="F38" s="296">
        <v>3</v>
      </c>
      <c r="G38" s="296">
        <v>2.1</v>
      </c>
      <c r="H38" s="483"/>
      <c r="I38" s="296"/>
      <c r="J38" s="483"/>
      <c r="K38" s="296"/>
      <c r="L38" s="486">
        <v>1</v>
      </c>
      <c r="M38" s="483"/>
      <c r="N38" s="296"/>
      <c r="O38" s="483"/>
      <c r="P38" s="296"/>
      <c r="Q38" s="296"/>
      <c r="R38" s="296">
        <v>0.021</v>
      </c>
      <c r="S38" s="296">
        <v>0.033</v>
      </c>
    </row>
    <row r="39" spans="1:19" s="30" customFormat="1" ht="12">
      <c r="A39" s="264"/>
      <c r="B39" s="296">
        <v>14</v>
      </c>
      <c r="C39" s="298" t="s">
        <v>487</v>
      </c>
      <c r="D39" s="427" t="s">
        <v>1621</v>
      </c>
      <c r="E39" s="431">
        <v>410.9</v>
      </c>
      <c r="F39" s="296">
        <v>36</v>
      </c>
      <c r="G39" s="296">
        <v>23.5</v>
      </c>
      <c r="H39" s="483"/>
      <c r="I39" s="296"/>
      <c r="J39" s="483"/>
      <c r="K39" s="296"/>
      <c r="L39" s="486">
        <v>5</v>
      </c>
      <c r="M39" s="483"/>
      <c r="N39" s="296"/>
      <c r="O39" s="483"/>
      <c r="P39" s="296"/>
      <c r="Q39" s="296"/>
      <c r="R39" s="296">
        <v>0.062</v>
      </c>
      <c r="S39" s="296">
        <v>0.058</v>
      </c>
    </row>
    <row r="40" spans="1:19" s="30" customFormat="1" ht="12">
      <c r="A40" s="264"/>
      <c r="B40" s="296">
        <v>15</v>
      </c>
      <c r="C40" s="298" t="s">
        <v>488</v>
      </c>
      <c r="D40" s="427" t="s">
        <v>1621</v>
      </c>
      <c r="E40" s="431">
        <v>216.22</v>
      </c>
      <c r="F40" s="296">
        <v>12</v>
      </c>
      <c r="G40" s="296">
        <v>5.1</v>
      </c>
      <c r="H40" s="483"/>
      <c r="I40" s="296"/>
      <c r="J40" s="483"/>
      <c r="K40" s="296"/>
      <c r="L40" s="486">
        <v>6</v>
      </c>
      <c r="M40" s="483"/>
      <c r="N40" s="296"/>
      <c r="O40" s="483"/>
      <c r="P40" s="296"/>
      <c r="Q40" s="296"/>
      <c r="R40" s="296">
        <v>0.0285</v>
      </c>
      <c r="S40" s="296">
        <v>0.088</v>
      </c>
    </row>
    <row r="41" spans="1:19" s="30" customFormat="1" ht="12">
      <c r="A41" s="264"/>
      <c r="B41" s="296">
        <v>16</v>
      </c>
      <c r="C41" s="298" t="s">
        <v>489</v>
      </c>
      <c r="D41" s="427" t="s">
        <v>1621</v>
      </c>
      <c r="E41" s="431">
        <v>609.19</v>
      </c>
      <c r="F41" s="296">
        <v>13</v>
      </c>
      <c r="G41" s="296">
        <v>9.6</v>
      </c>
      <c r="H41" s="483"/>
      <c r="I41" s="296"/>
      <c r="J41" s="483"/>
      <c r="K41" s="296"/>
      <c r="L41" s="486">
        <v>13</v>
      </c>
      <c r="M41" s="483"/>
      <c r="N41" s="296"/>
      <c r="O41" s="483"/>
      <c r="P41" s="296"/>
      <c r="Q41" s="296"/>
      <c r="R41" s="296">
        <v>0.1378</v>
      </c>
      <c r="S41" s="296">
        <v>0.1472</v>
      </c>
    </row>
    <row r="42" spans="1:19" s="30" customFormat="1" ht="12">
      <c r="A42" s="264"/>
      <c r="B42" s="296">
        <v>17</v>
      </c>
      <c r="C42" s="298" t="s">
        <v>490</v>
      </c>
      <c r="D42" s="427" t="s">
        <v>1621</v>
      </c>
      <c r="E42" s="431">
        <v>1808.44</v>
      </c>
      <c r="F42" s="296">
        <v>40</v>
      </c>
      <c r="G42" s="296">
        <v>32.68</v>
      </c>
      <c r="H42" s="483"/>
      <c r="I42" s="296"/>
      <c r="J42" s="483"/>
      <c r="K42" s="296"/>
      <c r="L42" s="486">
        <v>29</v>
      </c>
      <c r="M42" s="483"/>
      <c r="N42" s="296"/>
      <c r="O42" s="483"/>
      <c r="P42" s="296"/>
      <c r="Q42" s="296"/>
      <c r="R42" s="296">
        <v>0.2453</v>
      </c>
      <c r="S42" s="296">
        <v>0.1608</v>
      </c>
    </row>
    <row r="43" spans="1:19" s="30" customFormat="1" ht="12">
      <c r="A43" s="264"/>
      <c r="B43" s="296">
        <v>18</v>
      </c>
      <c r="C43" s="298" t="s">
        <v>491</v>
      </c>
      <c r="D43" s="427" t="s">
        <v>1621</v>
      </c>
      <c r="E43" s="431">
        <v>1095.33</v>
      </c>
      <c r="F43" s="296">
        <v>19</v>
      </c>
      <c r="G43" s="296">
        <v>10.9</v>
      </c>
      <c r="H43" s="483"/>
      <c r="I43" s="296"/>
      <c r="J43" s="483"/>
      <c r="K43" s="296"/>
      <c r="L43" s="486">
        <v>27</v>
      </c>
      <c r="M43" s="483"/>
      <c r="N43" s="296"/>
      <c r="O43" s="483"/>
      <c r="P43" s="296"/>
      <c r="Q43" s="296"/>
      <c r="R43" s="296">
        <v>0.2811</v>
      </c>
      <c r="S43" s="296">
        <v>0.1722</v>
      </c>
    </row>
    <row r="44" spans="1:19" s="30" customFormat="1" ht="12">
      <c r="A44" s="264"/>
      <c r="B44" s="296">
        <v>19</v>
      </c>
      <c r="C44" s="298" t="s">
        <v>492</v>
      </c>
      <c r="D44" s="427" t="s">
        <v>1621</v>
      </c>
      <c r="E44" s="431">
        <v>1138.84</v>
      </c>
      <c r="F44" s="296">
        <v>46</v>
      </c>
      <c r="G44" s="296">
        <v>28.1</v>
      </c>
      <c r="H44" s="483"/>
      <c r="I44" s="296"/>
      <c r="J44" s="483"/>
      <c r="K44" s="296"/>
      <c r="L44" s="486">
        <v>37</v>
      </c>
      <c r="M44" s="483"/>
      <c r="N44" s="296"/>
      <c r="O44" s="483"/>
      <c r="P44" s="296"/>
      <c r="Q44" s="296"/>
      <c r="R44" s="296">
        <v>0.185</v>
      </c>
      <c r="S44" s="296">
        <v>0.145</v>
      </c>
    </row>
    <row r="45" spans="1:19" s="30" customFormat="1" ht="12">
      <c r="A45" s="264"/>
      <c r="B45" s="296">
        <v>20</v>
      </c>
      <c r="C45" s="298" t="s">
        <v>493</v>
      </c>
      <c r="D45" s="427" t="s">
        <v>1621</v>
      </c>
      <c r="E45" s="431">
        <v>1042.46</v>
      </c>
      <c r="F45" s="296">
        <v>18</v>
      </c>
      <c r="G45" s="296">
        <v>10.7</v>
      </c>
      <c r="H45" s="483"/>
      <c r="I45" s="296"/>
      <c r="J45" s="483"/>
      <c r="K45" s="296"/>
      <c r="L45" s="486">
        <v>23</v>
      </c>
      <c r="M45" s="483"/>
      <c r="N45" s="296"/>
      <c r="O45" s="483"/>
      <c r="P45" s="296"/>
      <c r="Q45" s="296"/>
      <c r="R45" s="296">
        <v>0.147</v>
      </c>
      <c r="S45" s="296">
        <v>0.089</v>
      </c>
    </row>
    <row r="46" spans="1:19" s="30" customFormat="1" ht="12">
      <c r="A46" s="264"/>
      <c r="B46" s="296">
        <v>21</v>
      </c>
      <c r="C46" s="298" t="s">
        <v>494</v>
      </c>
      <c r="D46" s="427" t="s">
        <v>1621</v>
      </c>
      <c r="E46" s="431">
        <v>616.37</v>
      </c>
      <c r="F46" s="296">
        <v>26</v>
      </c>
      <c r="G46" s="296">
        <v>17.9</v>
      </c>
      <c r="H46" s="483"/>
      <c r="I46" s="296"/>
      <c r="J46" s="483"/>
      <c r="K46" s="296"/>
      <c r="L46" s="486">
        <v>10</v>
      </c>
      <c r="M46" s="483"/>
      <c r="N46" s="296"/>
      <c r="O46" s="483"/>
      <c r="P46" s="296"/>
      <c r="Q46" s="296"/>
      <c r="R46" s="296">
        <v>0.0721</v>
      </c>
      <c r="S46" s="296">
        <v>0.0742</v>
      </c>
    </row>
    <row r="47" spans="1:19" s="30" customFormat="1" ht="12">
      <c r="A47" s="264"/>
      <c r="B47" s="296">
        <v>22</v>
      </c>
      <c r="C47" s="298" t="s">
        <v>495</v>
      </c>
      <c r="D47" s="427" t="s">
        <v>1621</v>
      </c>
      <c r="E47" s="431">
        <v>236.13</v>
      </c>
      <c r="F47" s="296">
        <v>13</v>
      </c>
      <c r="G47" s="296">
        <v>6.7</v>
      </c>
      <c r="H47" s="483"/>
      <c r="I47" s="296"/>
      <c r="J47" s="483"/>
      <c r="K47" s="296"/>
      <c r="L47" s="486">
        <v>3</v>
      </c>
      <c r="M47" s="483"/>
      <c r="N47" s="296"/>
      <c r="O47" s="483"/>
      <c r="P47" s="296"/>
      <c r="Q47" s="296"/>
      <c r="R47" s="296">
        <v>0.05</v>
      </c>
      <c r="S47" s="296">
        <v>0.055</v>
      </c>
    </row>
    <row r="48" spans="1:19" s="30" customFormat="1" ht="12">
      <c r="A48" s="264"/>
      <c r="B48" s="296">
        <v>23</v>
      </c>
      <c r="C48" s="296" t="s">
        <v>496</v>
      </c>
      <c r="D48" s="427" t="s">
        <v>1621</v>
      </c>
      <c r="E48" s="296">
        <v>80</v>
      </c>
      <c r="F48" s="296">
        <v>17</v>
      </c>
      <c r="G48" s="296">
        <v>5.6</v>
      </c>
      <c r="H48" s="483"/>
      <c r="I48" s="296"/>
      <c r="J48" s="483"/>
      <c r="K48" s="296"/>
      <c r="L48" s="483"/>
      <c r="M48" s="483"/>
      <c r="N48" s="296"/>
      <c r="O48" s="483"/>
      <c r="P48" s="296"/>
      <c r="Q48" s="296"/>
      <c r="R48" s="296">
        <v>0.05</v>
      </c>
      <c r="S48" s="296">
        <v>0.06</v>
      </c>
    </row>
    <row r="49" spans="1:19" s="30" customFormat="1" ht="12">
      <c r="A49" s="264"/>
      <c r="B49" s="296">
        <v>24</v>
      </c>
      <c r="C49" s="296" t="s">
        <v>497</v>
      </c>
      <c r="D49" s="427" t="s">
        <v>1621</v>
      </c>
      <c r="E49" s="296">
        <v>122</v>
      </c>
      <c r="F49" s="296">
        <v>3</v>
      </c>
      <c r="G49" s="296">
        <v>11</v>
      </c>
      <c r="H49" s="483"/>
      <c r="I49" s="296"/>
      <c r="J49" s="483"/>
      <c r="K49" s="296"/>
      <c r="L49" s="483"/>
      <c r="M49" s="483"/>
      <c r="N49" s="296"/>
      <c r="O49" s="483"/>
      <c r="P49" s="296"/>
      <c r="Q49" s="296"/>
      <c r="R49" s="296">
        <v>0.03</v>
      </c>
      <c r="S49" s="296">
        <v>0.06</v>
      </c>
    </row>
    <row r="50" spans="1:19" s="93" customFormat="1" ht="12">
      <c r="A50" s="424" t="s">
        <v>498</v>
      </c>
      <c r="B50" s="424" t="s">
        <v>499</v>
      </c>
      <c r="C50" s="424"/>
      <c r="D50" s="424"/>
      <c r="E50" s="424">
        <f>SUM(E51:E63)</f>
        <v>3012.2000000000003</v>
      </c>
      <c r="F50" s="424">
        <f aca="true" t="shared" si="5" ref="F50:S50">SUM(F51:F63)</f>
        <v>44</v>
      </c>
      <c r="G50" s="424">
        <f t="shared" si="5"/>
        <v>25.4</v>
      </c>
      <c r="H50" s="479">
        <f t="shared" si="5"/>
        <v>60</v>
      </c>
      <c r="I50" s="424">
        <f t="shared" si="5"/>
        <v>58.00000000000001</v>
      </c>
      <c r="J50" s="479">
        <f t="shared" si="5"/>
        <v>2000</v>
      </c>
      <c r="K50" s="424">
        <f t="shared" si="5"/>
        <v>40000</v>
      </c>
      <c r="L50" s="479">
        <f t="shared" si="5"/>
        <v>53</v>
      </c>
      <c r="M50" s="479">
        <f t="shared" si="5"/>
        <v>24</v>
      </c>
      <c r="N50" s="424">
        <f t="shared" si="5"/>
        <v>512.5</v>
      </c>
      <c r="O50" s="479">
        <f t="shared" si="5"/>
        <v>0</v>
      </c>
      <c r="P50" s="424">
        <f t="shared" si="5"/>
        <v>0</v>
      </c>
      <c r="Q50" s="424">
        <f t="shared" si="5"/>
        <v>0</v>
      </c>
      <c r="R50" s="424">
        <f t="shared" si="5"/>
        <v>0.9324600000000001</v>
      </c>
      <c r="S50" s="424">
        <f t="shared" si="5"/>
        <v>0.4126</v>
      </c>
    </row>
    <row r="51" spans="1:19" s="30" customFormat="1" ht="12">
      <c r="A51" s="296"/>
      <c r="B51" s="296">
        <v>1</v>
      </c>
      <c r="C51" s="296" t="s">
        <v>500</v>
      </c>
      <c r="D51" s="427" t="s">
        <v>1621</v>
      </c>
      <c r="E51" s="264">
        <f>G51*15+I51*1.4+J51*0.42+L51*30+M51*5+O51*2</f>
        <v>254.7</v>
      </c>
      <c r="F51" s="264">
        <v>3</v>
      </c>
      <c r="G51" s="264">
        <v>3.6</v>
      </c>
      <c r="H51" s="478">
        <v>5</v>
      </c>
      <c r="I51" s="264">
        <f>5500/1000</f>
        <v>5.5</v>
      </c>
      <c r="J51" s="478">
        <v>150</v>
      </c>
      <c r="K51" s="264">
        <f>J51*20</f>
        <v>3000</v>
      </c>
      <c r="L51" s="478">
        <v>4</v>
      </c>
      <c r="M51" s="478">
        <v>2</v>
      </c>
      <c r="N51" s="264">
        <v>37</v>
      </c>
      <c r="O51" s="478"/>
      <c r="P51" s="264"/>
      <c r="Q51" s="296"/>
      <c r="R51" s="353">
        <v>0.07941000000000001</v>
      </c>
      <c r="S51" s="296">
        <v>0.042</v>
      </c>
    </row>
    <row r="52" spans="1:19" s="30" customFormat="1" ht="12">
      <c r="A52" s="296"/>
      <c r="B52" s="296">
        <v>2</v>
      </c>
      <c r="C52" s="296" t="s">
        <v>501</v>
      </c>
      <c r="D52" s="427" t="s">
        <v>1621</v>
      </c>
      <c r="E52" s="264">
        <f aca="true" t="shared" si="6" ref="E52:E63">G52*15+I52*1.4+J52*0.42+L52*30+M52*5+O52*2</f>
        <v>286.18</v>
      </c>
      <c r="F52" s="296">
        <v>5</v>
      </c>
      <c r="G52" s="296">
        <v>4</v>
      </c>
      <c r="H52" s="483">
        <v>4</v>
      </c>
      <c r="I52" s="296">
        <f>4700/1000</f>
        <v>4.7</v>
      </c>
      <c r="J52" s="483">
        <v>130</v>
      </c>
      <c r="K52" s="264">
        <f aca="true" t="shared" si="7" ref="K52:K63">J52*20</f>
        <v>2600</v>
      </c>
      <c r="L52" s="483">
        <v>5</v>
      </c>
      <c r="M52" s="483">
        <v>3</v>
      </c>
      <c r="N52" s="296">
        <v>70</v>
      </c>
      <c r="O52" s="483"/>
      <c r="P52" s="296"/>
      <c r="Q52" s="296"/>
      <c r="R52" s="353">
        <v>0.08705399999999999</v>
      </c>
      <c r="S52" s="296">
        <v>0.031</v>
      </c>
    </row>
    <row r="53" spans="1:19" s="30" customFormat="1" ht="12">
      <c r="A53" s="296"/>
      <c r="B53" s="296">
        <v>3</v>
      </c>
      <c r="C53" s="296" t="s">
        <v>502</v>
      </c>
      <c r="D53" s="427" t="s">
        <v>1621</v>
      </c>
      <c r="E53" s="264">
        <f t="shared" si="6"/>
        <v>197.2</v>
      </c>
      <c r="F53" s="296">
        <v>4</v>
      </c>
      <c r="G53" s="296">
        <v>2.6</v>
      </c>
      <c r="H53" s="483">
        <v>2</v>
      </c>
      <c r="I53" s="296">
        <v>2</v>
      </c>
      <c r="J53" s="483">
        <v>120</v>
      </c>
      <c r="K53" s="264">
        <f t="shared" si="7"/>
        <v>2400</v>
      </c>
      <c r="L53" s="483">
        <v>3</v>
      </c>
      <c r="M53" s="483">
        <v>3</v>
      </c>
      <c r="N53" s="296">
        <v>68</v>
      </c>
      <c r="O53" s="483"/>
      <c r="P53" s="296"/>
      <c r="Q53" s="296"/>
      <c r="R53" s="353">
        <v>0.060360000000000004</v>
      </c>
      <c r="S53" s="296">
        <v>0.0356</v>
      </c>
    </row>
    <row r="54" spans="1:19" s="30" customFormat="1" ht="12">
      <c r="A54" s="296"/>
      <c r="B54" s="296">
        <v>4</v>
      </c>
      <c r="C54" s="296" t="s">
        <v>503</v>
      </c>
      <c r="D54" s="427" t="s">
        <v>1621</v>
      </c>
      <c r="E54" s="264">
        <f t="shared" si="6"/>
        <v>188.38</v>
      </c>
      <c r="F54" s="296">
        <v>4</v>
      </c>
      <c r="G54" s="296">
        <v>2.1</v>
      </c>
      <c r="H54" s="483">
        <v>8</v>
      </c>
      <c r="I54" s="296">
        <v>8.2</v>
      </c>
      <c r="J54" s="483">
        <v>120</v>
      </c>
      <c r="K54" s="264">
        <f t="shared" si="7"/>
        <v>2400</v>
      </c>
      <c r="L54" s="483">
        <v>3</v>
      </c>
      <c r="M54" s="483">
        <v>1</v>
      </c>
      <c r="N54" s="296">
        <v>18</v>
      </c>
      <c r="O54" s="483"/>
      <c r="P54" s="296"/>
      <c r="Q54" s="296"/>
      <c r="R54" s="353">
        <v>0.060114</v>
      </c>
      <c r="S54" s="296">
        <v>0.048</v>
      </c>
    </row>
    <row r="55" spans="1:19" s="30" customFormat="1" ht="12">
      <c r="A55" s="296"/>
      <c r="B55" s="296">
        <v>5</v>
      </c>
      <c r="C55" s="296" t="s">
        <v>504</v>
      </c>
      <c r="D55" s="427" t="s">
        <v>1621</v>
      </c>
      <c r="E55" s="264">
        <f t="shared" si="6"/>
        <v>303.62</v>
      </c>
      <c r="F55" s="296">
        <v>4</v>
      </c>
      <c r="G55" s="296">
        <v>2</v>
      </c>
      <c r="H55" s="483">
        <v>6</v>
      </c>
      <c r="I55" s="296">
        <v>6.3</v>
      </c>
      <c r="J55" s="483">
        <v>190</v>
      </c>
      <c r="K55" s="264">
        <f t="shared" si="7"/>
        <v>3800</v>
      </c>
      <c r="L55" s="483">
        <v>6</v>
      </c>
      <c r="M55" s="483">
        <v>1</v>
      </c>
      <c r="N55" s="296">
        <v>18</v>
      </c>
      <c r="O55" s="483"/>
      <c r="P55" s="296"/>
      <c r="Q55" s="296"/>
      <c r="R55" s="353">
        <v>0.093486</v>
      </c>
      <c r="S55" s="296">
        <v>0.028</v>
      </c>
    </row>
    <row r="56" spans="1:19" s="30" customFormat="1" ht="12">
      <c r="A56" s="296"/>
      <c r="B56" s="296">
        <v>6</v>
      </c>
      <c r="C56" s="296" t="s">
        <v>505</v>
      </c>
      <c r="D56" s="427" t="s">
        <v>1621</v>
      </c>
      <c r="E56" s="264">
        <f t="shared" si="6"/>
        <v>177.48000000000002</v>
      </c>
      <c r="F56" s="296">
        <v>3</v>
      </c>
      <c r="G56" s="296">
        <v>1.6</v>
      </c>
      <c r="H56" s="483">
        <v>2</v>
      </c>
      <c r="I56" s="296">
        <v>3.2</v>
      </c>
      <c r="J56" s="483">
        <v>200</v>
      </c>
      <c r="K56" s="264">
        <f t="shared" si="7"/>
        <v>4000</v>
      </c>
      <c r="L56" s="483">
        <v>2</v>
      </c>
      <c r="M56" s="483">
        <v>1</v>
      </c>
      <c r="N56" s="296">
        <v>18</v>
      </c>
      <c r="O56" s="483"/>
      <c r="P56" s="296"/>
      <c r="Q56" s="296"/>
      <c r="R56" s="353">
        <v>0.055644000000000006</v>
      </c>
      <c r="S56" s="296">
        <v>0.03</v>
      </c>
    </row>
    <row r="57" spans="1:19" s="30" customFormat="1" ht="12">
      <c r="A57" s="296"/>
      <c r="B57" s="296">
        <v>7</v>
      </c>
      <c r="C57" s="296" t="s">
        <v>506</v>
      </c>
      <c r="D57" s="427" t="s">
        <v>1621</v>
      </c>
      <c r="E57" s="264">
        <f t="shared" si="6"/>
        <v>242.94</v>
      </c>
      <c r="F57" s="296">
        <v>3</v>
      </c>
      <c r="G57" s="296">
        <v>1.5</v>
      </c>
      <c r="H57" s="483">
        <v>5</v>
      </c>
      <c r="I57" s="296">
        <v>4.6</v>
      </c>
      <c r="J57" s="483">
        <v>200</v>
      </c>
      <c r="K57" s="264">
        <f t="shared" si="7"/>
        <v>4000</v>
      </c>
      <c r="L57" s="483">
        <v>4</v>
      </c>
      <c r="M57" s="483">
        <v>2</v>
      </c>
      <c r="N57" s="296">
        <v>40</v>
      </c>
      <c r="O57" s="483"/>
      <c r="P57" s="296"/>
      <c r="Q57" s="296"/>
      <c r="R57" s="353">
        <v>0.07648200000000001</v>
      </c>
      <c r="S57" s="296">
        <v>0.052</v>
      </c>
    </row>
    <row r="58" spans="1:19" s="30" customFormat="1" ht="12">
      <c r="A58" s="296"/>
      <c r="B58" s="296">
        <v>8</v>
      </c>
      <c r="C58" s="296" t="s">
        <v>507</v>
      </c>
      <c r="D58" s="427" t="s">
        <v>1621</v>
      </c>
      <c r="E58" s="264">
        <f t="shared" si="6"/>
        <v>214.34</v>
      </c>
      <c r="F58" s="296">
        <v>2</v>
      </c>
      <c r="G58" s="296">
        <v>2.1</v>
      </c>
      <c r="H58" s="483">
        <v>6</v>
      </c>
      <c r="I58" s="296">
        <v>2.6</v>
      </c>
      <c r="J58" s="483">
        <v>260</v>
      </c>
      <c r="K58" s="264">
        <f t="shared" si="7"/>
        <v>5200</v>
      </c>
      <c r="L58" s="483">
        <v>2</v>
      </c>
      <c r="M58" s="483">
        <v>2</v>
      </c>
      <c r="N58" s="296">
        <v>50</v>
      </c>
      <c r="O58" s="483"/>
      <c r="P58" s="296"/>
      <c r="Q58" s="296"/>
      <c r="R58" s="353">
        <v>0.065502</v>
      </c>
      <c r="S58" s="296">
        <v>0.0165</v>
      </c>
    </row>
    <row r="59" spans="1:19" s="30" customFormat="1" ht="15.75" customHeight="1">
      <c r="A59" s="296"/>
      <c r="B59" s="296">
        <v>9</v>
      </c>
      <c r="C59" s="296" t="s">
        <v>508</v>
      </c>
      <c r="D59" s="427" t="s">
        <v>1621</v>
      </c>
      <c r="E59" s="264">
        <f t="shared" si="6"/>
        <v>312.9</v>
      </c>
      <c r="F59" s="296">
        <v>6</v>
      </c>
      <c r="G59" s="296">
        <v>1.8</v>
      </c>
      <c r="H59" s="483">
        <v>6</v>
      </c>
      <c r="I59" s="296">
        <v>6.5</v>
      </c>
      <c r="J59" s="483">
        <v>40</v>
      </c>
      <c r="K59" s="264">
        <f t="shared" si="7"/>
        <v>800</v>
      </c>
      <c r="L59" s="483">
        <v>8</v>
      </c>
      <c r="M59" s="483">
        <v>4</v>
      </c>
      <c r="N59" s="296">
        <v>88</v>
      </c>
      <c r="O59" s="483"/>
      <c r="P59" s="296"/>
      <c r="Q59" s="296"/>
      <c r="R59" s="353">
        <v>0.09627000000000001</v>
      </c>
      <c r="S59" s="296">
        <v>0.0325</v>
      </c>
    </row>
    <row r="60" spans="1:19" s="30" customFormat="1" ht="15.75" customHeight="1">
      <c r="A60" s="296"/>
      <c r="B60" s="296">
        <v>10</v>
      </c>
      <c r="C60" s="296" t="s">
        <v>509</v>
      </c>
      <c r="D60" s="427" t="s">
        <v>1621</v>
      </c>
      <c r="E60" s="264">
        <f t="shared" si="6"/>
        <v>188.39999999999998</v>
      </c>
      <c r="F60" s="296">
        <v>3</v>
      </c>
      <c r="G60" s="296">
        <v>1.2</v>
      </c>
      <c r="H60" s="483">
        <v>3</v>
      </c>
      <c r="I60" s="296">
        <v>3</v>
      </c>
      <c r="J60" s="483">
        <v>110</v>
      </c>
      <c r="K60" s="264">
        <f t="shared" si="7"/>
        <v>2200</v>
      </c>
      <c r="L60" s="483">
        <v>4</v>
      </c>
      <c r="M60" s="483">
        <v>0</v>
      </c>
      <c r="N60" s="296"/>
      <c r="O60" s="483"/>
      <c r="P60" s="296"/>
      <c r="Q60" s="296"/>
      <c r="R60" s="353">
        <v>0.05772000000000001</v>
      </c>
      <c r="S60" s="296">
        <v>0.019</v>
      </c>
    </row>
    <row r="61" spans="1:19" s="30" customFormat="1" ht="15.75" customHeight="1">
      <c r="A61" s="296"/>
      <c r="B61" s="296">
        <v>11</v>
      </c>
      <c r="C61" s="296" t="s">
        <v>510</v>
      </c>
      <c r="D61" s="427" t="s">
        <v>1621</v>
      </c>
      <c r="E61" s="264">
        <f t="shared" si="6"/>
        <v>263.84000000000003</v>
      </c>
      <c r="F61" s="296">
        <v>2</v>
      </c>
      <c r="G61" s="296">
        <v>0.8</v>
      </c>
      <c r="H61" s="483">
        <v>5</v>
      </c>
      <c r="I61" s="296">
        <v>5.6</v>
      </c>
      <c r="J61" s="483">
        <v>200</v>
      </c>
      <c r="K61" s="264">
        <f t="shared" si="7"/>
        <v>4000</v>
      </c>
      <c r="L61" s="483">
        <v>5</v>
      </c>
      <c r="M61" s="483">
        <v>2</v>
      </c>
      <c r="N61" s="296">
        <v>25.5</v>
      </c>
      <c r="O61" s="483"/>
      <c r="P61" s="296"/>
      <c r="Q61" s="296"/>
      <c r="R61" s="353">
        <v>0.080952</v>
      </c>
      <c r="S61" s="296">
        <v>0.021</v>
      </c>
    </row>
    <row r="62" spans="1:19" s="30" customFormat="1" ht="15.75" customHeight="1">
      <c r="A62" s="296"/>
      <c r="B62" s="296">
        <v>12</v>
      </c>
      <c r="C62" s="296" t="s">
        <v>511</v>
      </c>
      <c r="D62" s="427" t="s">
        <v>1621</v>
      </c>
      <c r="E62" s="264">
        <f t="shared" si="6"/>
        <v>152.74</v>
      </c>
      <c r="F62" s="296">
        <v>2</v>
      </c>
      <c r="G62" s="296">
        <v>0.9</v>
      </c>
      <c r="H62" s="483">
        <v>2</v>
      </c>
      <c r="I62" s="296">
        <v>1.6</v>
      </c>
      <c r="J62" s="483">
        <v>100</v>
      </c>
      <c r="K62" s="264">
        <f t="shared" si="7"/>
        <v>2000</v>
      </c>
      <c r="L62" s="483">
        <v>3</v>
      </c>
      <c r="M62" s="483">
        <v>1</v>
      </c>
      <c r="N62" s="296">
        <v>30</v>
      </c>
      <c r="O62" s="483"/>
      <c r="P62" s="296"/>
      <c r="Q62" s="296"/>
      <c r="R62" s="353">
        <v>0.047022</v>
      </c>
      <c r="S62" s="296">
        <v>0.016</v>
      </c>
    </row>
    <row r="63" spans="1:19" s="30" customFormat="1" ht="15.75" customHeight="1">
      <c r="A63" s="296"/>
      <c r="B63" s="296">
        <v>13</v>
      </c>
      <c r="C63" s="296" t="s">
        <v>512</v>
      </c>
      <c r="D63" s="427" t="s">
        <v>1621</v>
      </c>
      <c r="E63" s="264">
        <f t="shared" si="6"/>
        <v>229.48</v>
      </c>
      <c r="F63" s="296">
        <v>3</v>
      </c>
      <c r="G63" s="296">
        <v>1.2</v>
      </c>
      <c r="H63" s="483">
        <v>6</v>
      </c>
      <c r="I63" s="296">
        <v>4.2</v>
      </c>
      <c r="J63" s="483">
        <v>180</v>
      </c>
      <c r="K63" s="264">
        <f t="shared" si="7"/>
        <v>3600</v>
      </c>
      <c r="L63" s="483">
        <v>4</v>
      </c>
      <c r="M63" s="483">
        <v>2</v>
      </c>
      <c r="N63" s="296">
        <v>50</v>
      </c>
      <c r="O63" s="483"/>
      <c r="P63" s="296"/>
      <c r="Q63" s="296"/>
      <c r="R63" s="353">
        <v>0.07244400000000001</v>
      </c>
      <c r="S63" s="296">
        <v>0.041</v>
      </c>
    </row>
    <row r="64" spans="1:19" s="93" customFormat="1" ht="15.75" customHeight="1">
      <c r="A64" s="426"/>
      <c r="B64" s="426" t="s">
        <v>513</v>
      </c>
      <c r="C64" s="426"/>
      <c r="D64" s="426"/>
      <c r="E64" s="425">
        <f>SUM(E65:E71)</f>
        <v>1915</v>
      </c>
      <c r="F64" s="425">
        <f aca="true" t="shared" si="8" ref="F64:S64">SUM(F65:F71)</f>
        <v>1</v>
      </c>
      <c r="G64" s="425">
        <f t="shared" si="8"/>
        <v>3.52</v>
      </c>
      <c r="H64" s="479">
        <f t="shared" si="8"/>
        <v>0</v>
      </c>
      <c r="I64" s="425">
        <f t="shared" si="8"/>
        <v>0</v>
      </c>
      <c r="J64" s="479">
        <f t="shared" si="8"/>
        <v>0</v>
      </c>
      <c r="K64" s="425">
        <f t="shared" si="8"/>
        <v>0</v>
      </c>
      <c r="L64" s="479">
        <f t="shared" si="8"/>
        <v>44</v>
      </c>
      <c r="M64" s="479">
        <f t="shared" si="8"/>
        <v>0</v>
      </c>
      <c r="N64" s="425">
        <f t="shared" si="8"/>
        <v>0</v>
      </c>
      <c r="O64" s="479">
        <f t="shared" si="8"/>
        <v>0</v>
      </c>
      <c r="P64" s="425">
        <f t="shared" si="8"/>
        <v>0</v>
      </c>
      <c r="Q64" s="425">
        <f t="shared" si="8"/>
        <v>0</v>
      </c>
      <c r="R64" s="425">
        <f t="shared" si="8"/>
        <v>0.1513</v>
      </c>
      <c r="S64" s="425">
        <f t="shared" si="8"/>
        <v>0.9003</v>
      </c>
    </row>
    <row r="65" spans="1:20" s="30" customFormat="1" ht="15.75" customHeight="1">
      <c r="A65" s="296"/>
      <c r="B65" s="325">
        <v>1</v>
      </c>
      <c r="C65" s="296" t="s">
        <v>514</v>
      </c>
      <c r="D65" s="427" t="s">
        <v>1621</v>
      </c>
      <c r="E65" s="432">
        <v>318.6</v>
      </c>
      <c r="F65" s="427"/>
      <c r="G65" s="427"/>
      <c r="H65" s="484"/>
      <c r="I65" s="427"/>
      <c r="J65" s="484"/>
      <c r="K65" s="427"/>
      <c r="L65" s="483">
        <v>8</v>
      </c>
      <c r="M65" s="484"/>
      <c r="N65" s="427"/>
      <c r="O65" s="484"/>
      <c r="P65" s="427"/>
      <c r="Q65" s="427"/>
      <c r="R65" s="296">
        <v>0.0268</v>
      </c>
      <c r="S65" s="296">
        <v>0.1955</v>
      </c>
      <c r="T65" s="235"/>
    </row>
    <row r="66" spans="1:20" s="30" customFormat="1" ht="15.75" customHeight="1">
      <c r="A66" s="296"/>
      <c r="B66" s="296">
        <v>2</v>
      </c>
      <c r="C66" s="296" t="s">
        <v>515</v>
      </c>
      <c r="D66" s="427" t="s">
        <v>1621</v>
      </c>
      <c r="E66" s="432">
        <v>197.9</v>
      </c>
      <c r="F66" s="427"/>
      <c r="G66" s="427"/>
      <c r="H66" s="484"/>
      <c r="I66" s="427"/>
      <c r="J66" s="484"/>
      <c r="K66" s="427"/>
      <c r="L66" s="483">
        <v>5</v>
      </c>
      <c r="M66" s="484"/>
      <c r="N66" s="427"/>
      <c r="O66" s="484"/>
      <c r="P66" s="427"/>
      <c r="Q66" s="427"/>
      <c r="R66" s="296">
        <v>0.0136</v>
      </c>
      <c r="S66" s="296">
        <v>0.14</v>
      </c>
      <c r="T66" s="236"/>
    </row>
    <row r="67" spans="1:20" s="30" customFormat="1" ht="15.75" customHeight="1">
      <c r="A67" s="296"/>
      <c r="B67" s="325">
        <v>3</v>
      </c>
      <c r="C67" s="296" t="s">
        <v>516</v>
      </c>
      <c r="D67" s="427" t="s">
        <v>1621</v>
      </c>
      <c r="E67" s="432">
        <v>110.2</v>
      </c>
      <c r="F67" s="427"/>
      <c r="G67" s="427"/>
      <c r="H67" s="484"/>
      <c r="I67" s="427"/>
      <c r="J67" s="484"/>
      <c r="K67" s="427"/>
      <c r="L67" s="483">
        <v>3</v>
      </c>
      <c r="M67" s="484"/>
      <c r="N67" s="427"/>
      <c r="O67" s="484"/>
      <c r="P67" s="427"/>
      <c r="Q67" s="427"/>
      <c r="R67" s="296">
        <v>0.0083</v>
      </c>
      <c r="S67" s="296">
        <v>0.0759</v>
      </c>
      <c r="T67" s="236"/>
    </row>
    <row r="68" spans="1:20" s="30" customFormat="1" ht="15.75" customHeight="1">
      <c r="A68" s="296"/>
      <c r="B68" s="296">
        <v>4</v>
      </c>
      <c r="C68" s="296" t="s">
        <v>517</v>
      </c>
      <c r="D68" s="427" t="s">
        <v>1621</v>
      </c>
      <c r="E68" s="432">
        <v>380</v>
      </c>
      <c r="F68" s="427"/>
      <c r="G68" s="427"/>
      <c r="H68" s="484"/>
      <c r="I68" s="427"/>
      <c r="J68" s="484"/>
      <c r="K68" s="427"/>
      <c r="L68" s="483">
        <v>9</v>
      </c>
      <c r="M68" s="484"/>
      <c r="N68" s="427"/>
      <c r="O68" s="484"/>
      <c r="P68" s="427"/>
      <c r="Q68" s="427"/>
      <c r="R68" s="296">
        <v>0.033</v>
      </c>
      <c r="S68" s="296">
        <v>0.2094</v>
      </c>
      <c r="T68" s="236"/>
    </row>
    <row r="69" spans="1:20" s="30" customFormat="1" ht="15.75" customHeight="1">
      <c r="A69" s="296"/>
      <c r="B69" s="325">
        <v>5</v>
      </c>
      <c r="C69" s="296" t="s">
        <v>518</v>
      </c>
      <c r="D69" s="427" t="s">
        <v>1621</v>
      </c>
      <c r="E69" s="432">
        <v>385</v>
      </c>
      <c r="F69" s="427"/>
      <c r="G69" s="427"/>
      <c r="H69" s="484"/>
      <c r="I69" s="427"/>
      <c r="J69" s="484"/>
      <c r="K69" s="427"/>
      <c r="L69" s="483">
        <v>9</v>
      </c>
      <c r="M69" s="484"/>
      <c r="N69" s="427"/>
      <c r="O69" s="484"/>
      <c r="P69" s="427"/>
      <c r="Q69" s="427"/>
      <c r="R69" s="296">
        <v>0.0325</v>
      </c>
      <c r="S69" s="296">
        <v>0.14689999999999998</v>
      </c>
      <c r="T69" s="237"/>
    </row>
    <row r="70" spans="1:20" s="30" customFormat="1" ht="15.75" customHeight="1">
      <c r="A70" s="296"/>
      <c r="B70" s="296">
        <v>6</v>
      </c>
      <c r="C70" s="296" t="s">
        <v>519</v>
      </c>
      <c r="D70" s="427" t="s">
        <v>1621</v>
      </c>
      <c r="E70" s="432">
        <v>178</v>
      </c>
      <c r="F70" s="427"/>
      <c r="G70" s="427"/>
      <c r="H70" s="484"/>
      <c r="I70" s="427"/>
      <c r="J70" s="484"/>
      <c r="K70" s="427"/>
      <c r="L70" s="483">
        <v>4</v>
      </c>
      <c r="M70" s="484"/>
      <c r="N70" s="427"/>
      <c r="O70" s="484"/>
      <c r="P70" s="427"/>
      <c r="Q70" s="427"/>
      <c r="R70" s="296">
        <v>0.0171</v>
      </c>
      <c r="S70" s="296">
        <v>0.055600000000000004</v>
      </c>
      <c r="T70" s="238"/>
    </row>
    <row r="71" spans="1:20" s="30" customFormat="1" ht="15.75" customHeight="1">
      <c r="A71" s="296"/>
      <c r="B71" s="325">
        <v>7</v>
      </c>
      <c r="C71" s="296" t="s">
        <v>520</v>
      </c>
      <c r="D71" s="427" t="s">
        <v>1621</v>
      </c>
      <c r="E71" s="432">
        <v>345.3</v>
      </c>
      <c r="F71" s="427">
        <v>1</v>
      </c>
      <c r="G71" s="427">
        <v>3.52</v>
      </c>
      <c r="H71" s="484"/>
      <c r="I71" s="427"/>
      <c r="J71" s="484"/>
      <c r="K71" s="427"/>
      <c r="L71" s="483">
        <v>6</v>
      </c>
      <c r="M71" s="484"/>
      <c r="N71" s="427"/>
      <c r="O71" s="484"/>
      <c r="P71" s="427"/>
      <c r="Q71" s="427"/>
      <c r="R71" s="296">
        <v>0.02</v>
      </c>
      <c r="S71" s="296">
        <v>0.077</v>
      </c>
      <c r="T71" s="238"/>
    </row>
    <row r="72" spans="1:19" s="93" customFormat="1" ht="15.75" customHeight="1">
      <c r="A72" s="426"/>
      <c r="B72" s="426" t="s">
        <v>521</v>
      </c>
      <c r="C72" s="433"/>
      <c r="D72" s="433"/>
      <c r="E72" s="434">
        <f>SUM(E73:E87)</f>
        <v>7279.299999999999</v>
      </c>
      <c r="F72" s="434">
        <f aca="true" t="shared" si="9" ref="F72:S72">SUM(F73:F87)</f>
        <v>198</v>
      </c>
      <c r="G72" s="434">
        <f t="shared" si="9"/>
        <v>99</v>
      </c>
      <c r="H72" s="485">
        <f t="shared" si="9"/>
        <v>43</v>
      </c>
      <c r="I72" s="434">
        <f t="shared" si="9"/>
        <v>66.60000000000001</v>
      </c>
      <c r="J72" s="485">
        <f t="shared" si="9"/>
        <v>1693</v>
      </c>
      <c r="K72" s="434">
        <f t="shared" si="9"/>
        <v>33860</v>
      </c>
      <c r="L72" s="485">
        <f t="shared" si="9"/>
        <v>161</v>
      </c>
      <c r="M72" s="485">
        <f t="shared" si="9"/>
        <v>28</v>
      </c>
      <c r="N72" s="434">
        <f t="shared" si="9"/>
        <v>420</v>
      </c>
      <c r="O72" s="485">
        <f t="shared" si="9"/>
        <v>10</v>
      </c>
      <c r="P72" s="434">
        <f t="shared" si="9"/>
        <v>0.9730000000000002</v>
      </c>
      <c r="Q72" s="434">
        <f t="shared" si="9"/>
        <v>1.1530500000000001</v>
      </c>
      <c r="R72" s="434">
        <f t="shared" si="9"/>
        <v>1.92175</v>
      </c>
      <c r="S72" s="434">
        <f t="shared" si="9"/>
        <v>2.7338999999999998</v>
      </c>
    </row>
    <row r="73" spans="1:19" s="30" customFormat="1" ht="15.75" customHeight="1">
      <c r="A73" s="296"/>
      <c r="B73" s="325">
        <v>1</v>
      </c>
      <c r="C73" s="331" t="s">
        <v>522</v>
      </c>
      <c r="D73" s="264" t="s">
        <v>523</v>
      </c>
      <c r="E73" s="264">
        <f aca="true" t="shared" si="10" ref="E73:E87">G73*15+I73*1.4+J73*0.42+L73*30+M73*5+O73*2</f>
        <v>659.72</v>
      </c>
      <c r="F73" s="264">
        <v>15</v>
      </c>
      <c r="G73" s="264">
        <f>F73*0.5</f>
        <v>7.5</v>
      </c>
      <c r="H73" s="478">
        <v>4</v>
      </c>
      <c r="I73" s="264">
        <v>4.5</v>
      </c>
      <c r="J73" s="483">
        <v>176</v>
      </c>
      <c r="K73" s="264">
        <f>J73*20</f>
        <v>3520</v>
      </c>
      <c r="L73" s="483">
        <v>15</v>
      </c>
      <c r="M73" s="478">
        <v>3</v>
      </c>
      <c r="N73" s="264">
        <f>M73*15</f>
        <v>45</v>
      </c>
      <c r="O73" s="478">
        <v>1</v>
      </c>
      <c r="P73" s="331">
        <v>0.13</v>
      </c>
      <c r="Q73" s="353">
        <v>0.09888</v>
      </c>
      <c r="R73" s="435">
        <v>0.1648</v>
      </c>
      <c r="S73" s="296">
        <v>0.2912</v>
      </c>
    </row>
    <row r="74" spans="1:19" s="30" customFormat="1" ht="15.75" customHeight="1">
      <c r="A74" s="296"/>
      <c r="B74" s="296">
        <v>2</v>
      </c>
      <c r="C74" s="331" t="s">
        <v>524</v>
      </c>
      <c r="D74" s="264" t="s">
        <v>523</v>
      </c>
      <c r="E74" s="264">
        <f t="shared" si="10"/>
        <v>953.36</v>
      </c>
      <c r="F74" s="296">
        <v>16</v>
      </c>
      <c r="G74" s="264">
        <f aca="true" t="shared" si="11" ref="G74:G87">F74*0.5</f>
        <v>8</v>
      </c>
      <c r="H74" s="478">
        <v>4</v>
      </c>
      <c r="I74" s="296">
        <v>5.4</v>
      </c>
      <c r="J74" s="483">
        <v>140</v>
      </c>
      <c r="K74" s="264">
        <f aca="true" t="shared" si="12" ref="K74:K87">J74*20</f>
        <v>2800</v>
      </c>
      <c r="L74" s="483">
        <v>25</v>
      </c>
      <c r="M74" s="478">
        <v>3</v>
      </c>
      <c r="N74" s="264">
        <f aca="true" t="shared" si="13" ref="N74:N87">M74*15</f>
        <v>45</v>
      </c>
      <c r="O74" s="478">
        <v>1</v>
      </c>
      <c r="P74" s="331">
        <v>0.15</v>
      </c>
      <c r="Q74" s="353">
        <v>0.11997000000000001</v>
      </c>
      <c r="R74" s="435">
        <v>0.19995</v>
      </c>
      <c r="S74" s="296">
        <v>0.2348</v>
      </c>
    </row>
    <row r="75" spans="1:19" s="30" customFormat="1" ht="15.75" customHeight="1">
      <c r="A75" s="296"/>
      <c r="B75" s="325">
        <v>3</v>
      </c>
      <c r="C75" s="331" t="s">
        <v>525</v>
      </c>
      <c r="D75" s="264" t="s">
        <v>523</v>
      </c>
      <c r="E75" s="264">
        <f t="shared" si="10"/>
        <v>641.08</v>
      </c>
      <c r="F75" s="296">
        <v>11</v>
      </c>
      <c r="G75" s="264">
        <f t="shared" si="11"/>
        <v>5.5</v>
      </c>
      <c r="H75" s="478">
        <v>2</v>
      </c>
      <c r="I75" s="296">
        <v>2.7</v>
      </c>
      <c r="J75" s="483">
        <v>90</v>
      </c>
      <c r="K75" s="264">
        <f t="shared" si="12"/>
        <v>1800</v>
      </c>
      <c r="L75" s="483">
        <v>17</v>
      </c>
      <c r="M75" s="478">
        <v>1</v>
      </c>
      <c r="N75" s="264">
        <f t="shared" si="13"/>
        <v>15</v>
      </c>
      <c r="O75" s="478">
        <v>1</v>
      </c>
      <c r="P75" s="331">
        <v>0.07</v>
      </c>
      <c r="Q75" s="353">
        <v>0.06555</v>
      </c>
      <c r="R75" s="435">
        <v>0.10925</v>
      </c>
      <c r="S75" s="296">
        <v>0.1526</v>
      </c>
    </row>
    <row r="76" spans="1:19" s="30" customFormat="1" ht="15.75" customHeight="1">
      <c r="A76" s="296"/>
      <c r="B76" s="296">
        <v>4</v>
      </c>
      <c r="C76" s="331" t="s">
        <v>526</v>
      </c>
      <c r="D76" s="264" t="s">
        <v>523</v>
      </c>
      <c r="E76" s="264">
        <f t="shared" si="10"/>
        <v>645.675</v>
      </c>
      <c r="F76" s="296">
        <v>13</v>
      </c>
      <c r="G76" s="264">
        <f t="shared" si="11"/>
        <v>6.5</v>
      </c>
      <c r="H76" s="478">
        <v>3</v>
      </c>
      <c r="I76" s="296">
        <v>4.5</v>
      </c>
      <c r="J76" s="483">
        <v>118.75</v>
      </c>
      <c r="K76" s="264">
        <f t="shared" si="12"/>
        <v>2375</v>
      </c>
      <c r="L76" s="483">
        <v>16</v>
      </c>
      <c r="M76" s="478">
        <v>2</v>
      </c>
      <c r="N76" s="264">
        <f t="shared" si="13"/>
        <v>30</v>
      </c>
      <c r="O76" s="478">
        <v>1</v>
      </c>
      <c r="P76" s="331">
        <v>0.08</v>
      </c>
      <c r="Q76" s="353">
        <v>0.08664</v>
      </c>
      <c r="R76" s="435">
        <v>0.1444</v>
      </c>
      <c r="S76" s="296">
        <v>0.1983</v>
      </c>
    </row>
    <row r="77" spans="1:19" s="30" customFormat="1" ht="15.75" customHeight="1">
      <c r="A77" s="296"/>
      <c r="B77" s="325">
        <v>5</v>
      </c>
      <c r="C77" s="331" t="s">
        <v>527</v>
      </c>
      <c r="D77" s="264" t="s">
        <v>523</v>
      </c>
      <c r="E77" s="264">
        <f t="shared" si="10"/>
        <v>397.33500000000004</v>
      </c>
      <c r="F77" s="296">
        <v>16</v>
      </c>
      <c r="G77" s="264">
        <f t="shared" si="11"/>
        <v>8</v>
      </c>
      <c r="H77" s="478">
        <v>3</v>
      </c>
      <c r="I77" s="296">
        <v>3.6</v>
      </c>
      <c r="J77" s="483">
        <v>119.75</v>
      </c>
      <c r="K77" s="264">
        <f t="shared" si="12"/>
        <v>2395</v>
      </c>
      <c r="L77" s="483">
        <v>7</v>
      </c>
      <c r="M77" s="478">
        <v>2</v>
      </c>
      <c r="N77" s="264">
        <f t="shared" si="13"/>
        <v>30</v>
      </c>
      <c r="O77" s="478">
        <v>1</v>
      </c>
      <c r="P77" s="331">
        <v>0.06</v>
      </c>
      <c r="Q77" s="353">
        <v>0.09792</v>
      </c>
      <c r="R77" s="435">
        <v>0.1632</v>
      </c>
      <c r="S77" s="296">
        <v>0.1969</v>
      </c>
    </row>
    <row r="78" spans="1:19" s="30" customFormat="1" ht="15.75" customHeight="1">
      <c r="A78" s="296"/>
      <c r="B78" s="296">
        <v>6</v>
      </c>
      <c r="C78" s="331" t="s">
        <v>528</v>
      </c>
      <c r="D78" s="264" t="s">
        <v>523</v>
      </c>
      <c r="E78" s="264">
        <f t="shared" si="10"/>
        <v>291.91499999999996</v>
      </c>
      <c r="F78" s="296">
        <v>14</v>
      </c>
      <c r="G78" s="264">
        <f t="shared" si="11"/>
        <v>7</v>
      </c>
      <c r="H78" s="478">
        <v>3</v>
      </c>
      <c r="I78" s="296">
        <v>5.4</v>
      </c>
      <c r="J78" s="483">
        <v>112.75</v>
      </c>
      <c r="K78" s="264">
        <f t="shared" si="12"/>
        <v>2255</v>
      </c>
      <c r="L78" s="483">
        <v>4</v>
      </c>
      <c r="M78" s="478">
        <v>2</v>
      </c>
      <c r="N78" s="264">
        <f t="shared" si="13"/>
        <v>30</v>
      </c>
      <c r="O78" s="478">
        <v>1</v>
      </c>
      <c r="P78" s="331">
        <v>0.12</v>
      </c>
      <c r="Q78" s="353">
        <v>0.08417999999999999</v>
      </c>
      <c r="R78" s="435">
        <v>0.1403</v>
      </c>
      <c r="S78" s="296">
        <v>0.1888</v>
      </c>
    </row>
    <row r="79" spans="1:19" s="30" customFormat="1" ht="15.75" customHeight="1">
      <c r="A79" s="296"/>
      <c r="B79" s="325">
        <v>7</v>
      </c>
      <c r="C79" s="331" t="s">
        <v>529</v>
      </c>
      <c r="D79" s="264" t="s">
        <v>530</v>
      </c>
      <c r="E79" s="264">
        <f t="shared" si="10"/>
        <v>632.265</v>
      </c>
      <c r="F79" s="296">
        <v>17</v>
      </c>
      <c r="G79" s="264">
        <f t="shared" si="11"/>
        <v>8.5</v>
      </c>
      <c r="H79" s="478">
        <v>3</v>
      </c>
      <c r="I79" s="296">
        <v>6.3</v>
      </c>
      <c r="J79" s="483">
        <v>152.25</v>
      </c>
      <c r="K79" s="264">
        <f t="shared" si="12"/>
        <v>3045</v>
      </c>
      <c r="L79" s="483">
        <v>14</v>
      </c>
      <c r="M79" s="478">
        <v>2</v>
      </c>
      <c r="N79" s="264">
        <f t="shared" si="13"/>
        <v>30</v>
      </c>
      <c r="O79" s="478">
        <v>1</v>
      </c>
      <c r="P79" s="331">
        <v>0.042</v>
      </c>
      <c r="Q79" s="353">
        <v>0.09896999999999999</v>
      </c>
      <c r="R79" s="435">
        <v>0.16495</v>
      </c>
      <c r="S79" s="296">
        <v>0.2309</v>
      </c>
    </row>
    <row r="80" spans="1:19" s="30" customFormat="1" ht="15.75" customHeight="1">
      <c r="A80" s="296"/>
      <c r="B80" s="296">
        <v>8</v>
      </c>
      <c r="C80" s="331" t="s">
        <v>531</v>
      </c>
      <c r="D80" s="264" t="s">
        <v>530</v>
      </c>
      <c r="E80" s="264">
        <f t="shared" si="10"/>
        <v>418.9</v>
      </c>
      <c r="F80" s="264">
        <v>7</v>
      </c>
      <c r="G80" s="264">
        <f t="shared" si="11"/>
        <v>3.5</v>
      </c>
      <c r="H80" s="478">
        <v>2</v>
      </c>
      <c r="I80" s="264">
        <v>3.6</v>
      </c>
      <c r="J80" s="483">
        <v>58</v>
      </c>
      <c r="K80" s="264">
        <f t="shared" si="12"/>
        <v>1160</v>
      </c>
      <c r="L80" s="483">
        <v>11</v>
      </c>
      <c r="M80" s="478">
        <v>1</v>
      </c>
      <c r="N80" s="264">
        <f t="shared" si="13"/>
        <v>15</v>
      </c>
      <c r="O80" s="478">
        <v>1</v>
      </c>
      <c r="P80" s="331">
        <v>0.031</v>
      </c>
      <c r="Q80" s="353">
        <v>0.04533</v>
      </c>
      <c r="R80" s="435">
        <v>0.07555</v>
      </c>
      <c r="S80" s="296">
        <v>0.0935</v>
      </c>
    </row>
    <row r="81" spans="1:19" s="30" customFormat="1" ht="15.75" customHeight="1">
      <c r="A81" s="296"/>
      <c r="B81" s="325">
        <v>9</v>
      </c>
      <c r="C81" s="331" t="s">
        <v>532</v>
      </c>
      <c r="D81" s="264" t="s">
        <v>530</v>
      </c>
      <c r="E81" s="264">
        <f t="shared" si="10"/>
        <v>291.02</v>
      </c>
      <c r="F81" s="296">
        <v>7</v>
      </c>
      <c r="G81" s="264">
        <f t="shared" si="11"/>
        <v>3.5</v>
      </c>
      <c r="H81" s="478">
        <v>2</v>
      </c>
      <c r="I81" s="296">
        <v>4.5</v>
      </c>
      <c r="J81" s="483">
        <v>41</v>
      </c>
      <c r="K81" s="264">
        <f t="shared" si="12"/>
        <v>820</v>
      </c>
      <c r="L81" s="483">
        <v>7</v>
      </c>
      <c r="M81" s="478">
        <v>1</v>
      </c>
      <c r="N81" s="264">
        <f t="shared" si="13"/>
        <v>15</v>
      </c>
      <c r="O81" s="478"/>
      <c r="P81" s="331">
        <v>0</v>
      </c>
      <c r="Q81" s="353">
        <v>0.03591</v>
      </c>
      <c r="R81" s="435">
        <v>0.05985</v>
      </c>
      <c r="S81" s="296">
        <v>0.065</v>
      </c>
    </row>
    <row r="82" spans="1:19" s="30" customFormat="1" ht="15.75" customHeight="1">
      <c r="A82" s="296"/>
      <c r="B82" s="296">
        <v>10</v>
      </c>
      <c r="C82" s="331" t="s">
        <v>533</v>
      </c>
      <c r="D82" s="264" t="s">
        <v>530</v>
      </c>
      <c r="E82" s="264">
        <f t="shared" si="10"/>
        <v>227.99</v>
      </c>
      <c r="F82" s="296">
        <v>9</v>
      </c>
      <c r="G82" s="264">
        <f t="shared" si="11"/>
        <v>4.5</v>
      </c>
      <c r="H82" s="478">
        <v>2</v>
      </c>
      <c r="I82" s="296">
        <v>6.3</v>
      </c>
      <c r="J82" s="483">
        <v>63.5</v>
      </c>
      <c r="K82" s="264">
        <f t="shared" si="12"/>
        <v>1270</v>
      </c>
      <c r="L82" s="483">
        <v>4</v>
      </c>
      <c r="M82" s="478">
        <v>1</v>
      </c>
      <c r="N82" s="264">
        <f t="shared" si="13"/>
        <v>15</v>
      </c>
      <c r="O82" s="478"/>
      <c r="P82" s="331">
        <v>0</v>
      </c>
      <c r="Q82" s="353">
        <v>0.05391</v>
      </c>
      <c r="R82" s="435">
        <v>0.08985</v>
      </c>
      <c r="S82" s="296">
        <v>0.0955</v>
      </c>
    </row>
    <row r="83" spans="1:19" s="30" customFormat="1" ht="15.75" customHeight="1">
      <c r="A83" s="296"/>
      <c r="B83" s="325">
        <v>11</v>
      </c>
      <c r="C83" s="331" t="s">
        <v>534</v>
      </c>
      <c r="D83" s="264" t="s">
        <v>530</v>
      </c>
      <c r="E83" s="264">
        <f t="shared" si="10"/>
        <v>624.775</v>
      </c>
      <c r="F83" s="296">
        <v>23</v>
      </c>
      <c r="G83" s="264">
        <f t="shared" si="11"/>
        <v>11.5</v>
      </c>
      <c r="H83" s="478">
        <v>5</v>
      </c>
      <c r="I83" s="296">
        <v>7.2</v>
      </c>
      <c r="J83" s="483">
        <v>214.75</v>
      </c>
      <c r="K83" s="264">
        <f t="shared" si="12"/>
        <v>4295</v>
      </c>
      <c r="L83" s="483">
        <v>11</v>
      </c>
      <c r="M83" s="478">
        <v>4</v>
      </c>
      <c r="N83" s="264">
        <f t="shared" si="13"/>
        <v>60</v>
      </c>
      <c r="O83" s="478">
        <v>1</v>
      </c>
      <c r="P83" s="331">
        <v>0.24</v>
      </c>
      <c r="Q83" s="353">
        <v>0.13116</v>
      </c>
      <c r="R83" s="435">
        <v>0.2186</v>
      </c>
      <c r="S83" s="296">
        <v>0.3613</v>
      </c>
    </row>
    <row r="84" spans="1:19" s="30" customFormat="1" ht="15.75" customHeight="1">
      <c r="A84" s="296"/>
      <c r="B84" s="296">
        <v>12</v>
      </c>
      <c r="C84" s="331" t="s">
        <v>535</v>
      </c>
      <c r="D84" s="264" t="s">
        <v>530</v>
      </c>
      <c r="E84" s="264">
        <f t="shared" si="10"/>
        <v>406.875</v>
      </c>
      <c r="F84" s="296">
        <v>14</v>
      </c>
      <c r="G84" s="264">
        <f t="shared" si="11"/>
        <v>7</v>
      </c>
      <c r="H84" s="478">
        <v>3</v>
      </c>
      <c r="I84" s="296">
        <v>2.7</v>
      </c>
      <c r="J84" s="483">
        <v>109.75</v>
      </c>
      <c r="K84" s="264">
        <f t="shared" si="12"/>
        <v>2195</v>
      </c>
      <c r="L84" s="483">
        <v>8</v>
      </c>
      <c r="M84" s="478">
        <v>2</v>
      </c>
      <c r="N84" s="264">
        <f t="shared" si="13"/>
        <v>30</v>
      </c>
      <c r="O84" s="478">
        <v>1</v>
      </c>
      <c r="P84" s="331">
        <v>0.05</v>
      </c>
      <c r="Q84" s="353">
        <v>0.07293</v>
      </c>
      <c r="R84" s="435">
        <v>0.12155</v>
      </c>
      <c r="S84" s="296">
        <v>0.1725</v>
      </c>
    </row>
    <row r="85" spans="1:19" s="30" customFormat="1" ht="15.75" customHeight="1">
      <c r="A85" s="296"/>
      <c r="B85" s="325">
        <v>13</v>
      </c>
      <c r="C85" s="331" t="s">
        <v>536</v>
      </c>
      <c r="D85" s="264" t="s">
        <v>530</v>
      </c>
      <c r="E85" s="264">
        <f t="shared" si="10"/>
        <v>490.945</v>
      </c>
      <c r="F85" s="296">
        <v>13</v>
      </c>
      <c r="G85" s="264">
        <f t="shared" si="11"/>
        <v>6.5</v>
      </c>
      <c r="H85" s="478">
        <v>3</v>
      </c>
      <c r="I85" s="296">
        <v>2.7</v>
      </c>
      <c r="J85" s="483">
        <v>118.25</v>
      </c>
      <c r="K85" s="264">
        <f t="shared" si="12"/>
        <v>2365</v>
      </c>
      <c r="L85" s="483">
        <v>11</v>
      </c>
      <c r="M85" s="478">
        <v>2</v>
      </c>
      <c r="N85" s="264">
        <f t="shared" si="13"/>
        <v>30</v>
      </c>
      <c r="O85" s="478"/>
      <c r="P85" s="331">
        <v>0</v>
      </c>
      <c r="Q85" s="353">
        <v>0.059489999999999994</v>
      </c>
      <c r="R85" s="435">
        <v>0.09915</v>
      </c>
      <c r="S85" s="296">
        <v>0.1945</v>
      </c>
    </row>
    <row r="86" spans="1:19" s="30" customFormat="1" ht="15.75" customHeight="1">
      <c r="A86" s="296"/>
      <c r="B86" s="296">
        <v>14</v>
      </c>
      <c r="C86" s="331" t="s">
        <v>537</v>
      </c>
      <c r="D86" s="264" t="s">
        <v>530</v>
      </c>
      <c r="E86" s="264">
        <f t="shared" si="10"/>
        <v>285.95</v>
      </c>
      <c r="F86" s="296">
        <v>12</v>
      </c>
      <c r="G86" s="264">
        <f t="shared" si="11"/>
        <v>6</v>
      </c>
      <c r="H86" s="478">
        <v>2</v>
      </c>
      <c r="I86" s="296">
        <v>2.7</v>
      </c>
      <c r="J86" s="483">
        <v>88.5</v>
      </c>
      <c r="K86" s="264">
        <f t="shared" si="12"/>
        <v>1770</v>
      </c>
      <c r="L86" s="483">
        <v>5</v>
      </c>
      <c r="M86" s="478">
        <v>1</v>
      </c>
      <c r="N86" s="264">
        <f t="shared" si="13"/>
        <v>15</v>
      </c>
      <c r="O86" s="478"/>
      <c r="P86" s="331">
        <v>0</v>
      </c>
      <c r="Q86" s="353">
        <v>0.05265</v>
      </c>
      <c r="R86" s="435">
        <v>0.08775</v>
      </c>
      <c r="S86" s="296">
        <v>0.1336</v>
      </c>
    </row>
    <row r="87" spans="1:19" s="30" customFormat="1" ht="15.75" customHeight="1">
      <c r="A87" s="296"/>
      <c r="B87" s="325">
        <v>15</v>
      </c>
      <c r="C87" s="331" t="s">
        <v>538</v>
      </c>
      <c r="D87" s="264" t="s">
        <v>530</v>
      </c>
      <c r="E87" s="264">
        <f t="shared" si="10"/>
        <v>311.495</v>
      </c>
      <c r="F87" s="264">
        <v>11</v>
      </c>
      <c r="G87" s="264">
        <f t="shared" si="11"/>
        <v>5.5</v>
      </c>
      <c r="H87" s="478">
        <v>2</v>
      </c>
      <c r="I87" s="264">
        <v>4.5</v>
      </c>
      <c r="J87" s="483">
        <v>89.75</v>
      </c>
      <c r="K87" s="264">
        <f t="shared" si="12"/>
        <v>1795</v>
      </c>
      <c r="L87" s="483">
        <v>6</v>
      </c>
      <c r="M87" s="478">
        <v>1</v>
      </c>
      <c r="N87" s="264">
        <f t="shared" si="13"/>
        <v>15</v>
      </c>
      <c r="O87" s="478"/>
      <c r="P87" s="331">
        <v>0</v>
      </c>
      <c r="Q87" s="353">
        <v>0.04956</v>
      </c>
      <c r="R87" s="435">
        <v>0.0826</v>
      </c>
      <c r="S87" s="296">
        <v>0.1245</v>
      </c>
    </row>
    <row r="88" spans="1:19" s="93" customFormat="1" ht="15.75" customHeight="1">
      <c r="A88" s="426"/>
      <c r="B88" s="426" t="s">
        <v>539</v>
      </c>
      <c r="C88" s="436"/>
      <c r="D88" s="424"/>
      <c r="E88" s="425">
        <f>SUM(E89:E96)</f>
        <v>5808.92</v>
      </c>
      <c r="F88" s="425">
        <f aca="true" t="shared" si="14" ref="F88:S88">SUM(F89:F96)</f>
        <v>93</v>
      </c>
      <c r="G88" s="425">
        <f t="shared" si="14"/>
        <v>99.91000000000001</v>
      </c>
      <c r="H88" s="479">
        <f t="shared" si="14"/>
        <v>2</v>
      </c>
      <c r="I88" s="425">
        <f t="shared" si="14"/>
        <v>2</v>
      </c>
      <c r="J88" s="479">
        <f t="shared" si="14"/>
        <v>0</v>
      </c>
      <c r="K88" s="425">
        <f t="shared" si="14"/>
        <v>0</v>
      </c>
      <c r="L88" s="479">
        <f t="shared" si="14"/>
        <v>87</v>
      </c>
      <c r="M88" s="479">
        <f t="shared" si="14"/>
        <v>9</v>
      </c>
      <c r="N88" s="425">
        <f t="shared" si="14"/>
        <v>1090</v>
      </c>
      <c r="O88" s="479">
        <f t="shared" si="14"/>
        <v>0</v>
      </c>
      <c r="P88" s="425">
        <f t="shared" si="14"/>
        <v>0</v>
      </c>
      <c r="Q88" s="425">
        <f t="shared" si="14"/>
        <v>0.253</v>
      </c>
      <c r="R88" s="425">
        <f t="shared" si="14"/>
        <v>0.509</v>
      </c>
      <c r="S88" s="425">
        <f t="shared" si="14"/>
        <v>1.7</v>
      </c>
    </row>
    <row r="89" spans="1:19" s="30" customFormat="1" ht="15.75" customHeight="1">
      <c r="A89" s="296"/>
      <c r="B89" s="325">
        <v>1</v>
      </c>
      <c r="C89" s="296" t="s">
        <v>540</v>
      </c>
      <c r="D89" s="264" t="s">
        <v>530</v>
      </c>
      <c r="E89" s="264">
        <f>(G89*1000*120+I89*1000*200+J89*4000+L89*400000+N89*10000+P89*1500)/10000</f>
        <v>636</v>
      </c>
      <c r="F89" s="264">
        <v>8</v>
      </c>
      <c r="G89" s="264">
        <f>(300+150+250+1000+700+3000+1200+3900)/1000</f>
        <v>10.5</v>
      </c>
      <c r="H89" s="478"/>
      <c r="I89" s="264"/>
      <c r="J89" s="478"/>
      <c r="K89" s="264"/>
      <c r="L89" s="478">
        <v>12</v>
      </c>
      <c r="M89" s="478">
        <v>2</v>
      </c>
      <c r="N89" s="264">
        <v>30</v>
      </c>
      <c r="O89" s="478"/>
      <c r="P89" s="296"/>
      <c r="Q89" s="296">
        <v>0.02</v>
      </c>
      <c r="R89" s="296">
        <v>0.06</v>
      </c>
      <c r="S89" s="296">
        <v>0.22</v>
      </c>
    </row>
    <row r="90" spans="1:19" s="30" customFormat="1" ht="15.75" customHeight="1">
      <c r="A90" s="296"/>
      <c r="B90" s="296">
        <v>2</v>
      </c>
      <c r="C90" s="296" t="s">
        <v>541</v>
      </c>
      <c r="D90" s="264" t="s">
        <v>530</v>
      </c>
      <c r="E90" s="264">
        <f aca="true" t="shared" si="15" ref="E90:E96">(G90*1000*120+I90*1000*200+J90*4000+L90*400000+N90*10000+P90*1500)/10000</f>
        <v>715.2</v>
      </c>
      <c r="F90" s="296">
        <v>12</v>
      </c>
      <c r="G90" s="296">
        <f>F90*800/1000</f>
        <v>9.6</v>
      </c>
      <c r="H90" s="483"/>
      <c r="I90" s="296"/>
      <c r="J90" s="483"/>
      <c r="K90" s="296"/>
      <c r="L90" s="483">
        <v>15</v>
      </c>
      <c r="M90" s="483"/>
      <c r="N90" s="296"/>
      <c r="O90" s="483"/>
      <c r="P90" s="296"/>
      <c r="Q90" s="296">
        <v>0.02</v>
      </c>
      <c r="R90" s="296">
        <v>0.09</v>
      </c>
      <c r="S90" s="296">
        <v>0.28</v>
      </c>
    </row>
    <row r="91" spans="1:19" s="30" customFormat="1" ht="15.75" customHeight="1">
      <c r="A91" s="296"/>
      <c r="B91" s="325">
        <v>3</v>
      </c>
      <c r="C91" s="296" t="s">
        <v>542</v>
      </c>
      <c r="D91" s="264" t="s">
        <v>530</v>
      </c>
      <c r="E91" s="264">
        <f t="shared" si="15"/>
        <v>286.4</v>
      </c>
      <c r="F91" s="296">
        <v>9</v>
      </c>
      <c r="G91" s="296">
        <f>F91*800/1000</f>
        <v>7.2</v>
      </c>
      <c r="H91" s="483"/>
      <c r="I91" s="296"/>
      <c r="J91" s="483"/>
      <c r="K91" s="296"/>
      <c r="L91" s="483">
        <v>5</v>
      </c>
      <c r="M91" s="483"/>
      <c r="N91" s="296"/>
      <c r="O91" s="483"/>
      <c r="P91" s="296"/>
      <c r="Q91" s="296">
        <v>0.01</v>
      </c>
      <c r="R91" s="296">
        <v>0.03</v>
      </c>
      <c r="S91" s="296">
        <v>0.29</v>
      </c>
    </row>
    <row r="92" spans="1:19" s="30" customFormat="1" ht="15.75" customHeight="1">
      <c r="A92" s="296"/>
      <c r="B92" s="296">
        <v>4</v>
      </c>
      <c r="C92" s="296" t="s">
        <v>543</v>
      </c>
      <c r="D92" s="264" t="s">
        <v>530</v>
      </c>
      <c r="E92" s="264">
        <f t="shared" si="15"/>
        <v>372</v>
      </c>
      <c r="F92" s="296">
        <v>5</v>
      </c>
      <c r="G92" s="296">
        <v>8.5</v>
      </c>
      <c r="H92" s="483">
        <v>1</v>
      </c>
      <c r="I92" s="296">
        <v>1.5</v>
      </c>
      <c r="J92" s="483"/>
      <c r="K92" s="296"/>
      <c r="L92" s="483">
        <v>6</v>
      </c>
      <c r="M92" s="483"/>
      <c r="N92" s="296"/>
      <c r="O92" s="483"/>
      <c r="P92" s="296"/>
      <c r="Q92" s="296">
        <v>0.013</v>
      </c>
      <c r="R92" s="296">
        <v>0.035</v>
      </c>
      <c r="S92" s="296">
        <v>0.25</v>
      </c>
    </row>
    <row r="93" spans="1:19" s="30" customFormat="1" ht="15.75" customHeight="1">
      <c r="A93" s="296"/>
      <c r="B93" s="325">
        <v>5</v>
      </c>
      <c r="C93" s="296" t="s">
        <v>544</v>
      </c>
      <c r="D93" s="264" t="s">
        <v>545</v>
      </c>
      <c r="E93" s="264">
        <f t="shared" si="15"/>
        <v>784.4</v>
      </c>
      <c r="F93" s="296">
        <v>14</v>
      </c>
      <c r="G93" s="296">
        <f>F93*800/1000</f>
        <v>11.2</v>
      </c>
      <c r="H93" s="483">
        <v>1</v>
      </c>
      <c r="I93" s="296">
        <v>0.5</v>
      </c>
      <c r="J93" s="483"/>
      <c r="K93" s="296"/>
      <c r="L93" s="483">
        <v>16</v>
      </c>
      <c r="M93" s="483"/>
      <c r="N93" s="296"/>
      <c r="O93" s="483"/>
      <c r="P93" s="296"/>
      <c r="Q93" s="296">
        <v>0.035</v>
      </c>
      <c r="R93" s="296">
        <v>0.08</v>
      </c>
      <c r="S93" s="296">
        <v>0.12</v>
      </c>
    </row>
    <row r="94" spans="1:19" s="30" customFormat="1" ht="15.75" customHeight="1">
      <c r="A94" s="296"/>
      <c r="B94" s="296">
        <v>6</v>
      </c>
      <c r="C94" s="296" t="s">
        <v>546</v>
      </c>
      <c r="D94" s="264" t="s">
        <v>545</v>
      </c>
      <c r="E94" s="264">
        <f t="shared" si="15"/>
        <v>349.48</v>
      </c>
      <c r="F94" s="296">
        <v>8</v>
      </c>
      <c r="G94" s="296">
        <f>2.2+0.82+7.5+1.55+0.72+1.05+1.3+0.65</f>
        <v>15.790000000000003</v>
      </c>
      <c r="H94" s="483"/>
      <c r="I94" s="296"/>
      <c r="J94" s="483"/>
      <c r="K94" s="296"/>
      <c r="L94" s="483">
        <v>4</v>
      </c>
      <c r="M94" s="483"/>
      <c r="N94" s="296"/>
      <c r="O94" s="483"/>
      <c r="P94" s="296"/>
      <c r="Q94" s="296">
        <v>0.005</v>
      </c>
      <c r="R94" s="296">
        <v>0.035</v>
      </c>
      <c r="S94" s="296">
        <v>0.13</v>
      </c>
    </row>
    <row r="95" spans="1:19" s="30" customFormat="1" ht="15.75" customHeight="1">
      <c r="A95" s="296"/>
      <c r="B95" s="325">
        <v>7</v>
      </c>
      <c r="C95" s="296" t="s">
        <v>547</v>
      </c>
      <c r="D95" s="264" t="s">
        <v>545</v>
      </c>
      <c r="E95" s="264">
        <f>(G95*1000*120+I95*1000*200+J95*4000+L95*400000+N95*10000+P95*1500)/10000</f>
        <v>1415.84</v>
      </c>
      <c r="F95" s="296">
        <v>11</v>
      </c>
      <c r="G95" s="296">
        <f>1.52+0.98+0.84+2.12+1.27+1.62+1.26+2.74+0.87+1.12+1.98</f>
        <v>16.32</v>
      </c>
      <c r="H95" s="483"/>
      <c r="I95" s="296"/>
      <c r="J95" s="483"/>
      <c r="K95" s="296"/>
      <c r="L95" s="483">
        <v>13</v>
      </c>
      <c r="M95" s="483">
        <v>3</v>
      </c>
      <c r="N95" s="296">
        <v>700</v>
      </c>
      <c r="O95" s="483"/>
      <c r="P95" s="296"/>
      <c r="Q95" s="296">
        <v>0.08</v>
      </c>
      <c r="R95" s="296">
        <v>0.084</v>
      </c>
      <c r="S95" s="296">
        <v>0.25</v>
      </c>
    </row>
    <row r="96" spans="1:19" s="30" customFormat="1" ht="15.75" customHeight="1">
      <c r="A96" s="296"/>
      <c r="B96" s="296">
        <v>8</v>
      </c>
      <c r="C96" s="296" t="s">
        <v>548</v>
      </c>
      <c r="D96" s="264" t="s">
        <v>545</v>
      </c>
      <c r="E96" s="264">
        <f t="shared" si="15"/>
        <v>1249.6</v>
      </c>
      <c r="F96" s="296">
        <v>26</v>
      </c>
      <c r="G96" s="296">
        <f>F96*800/1000</f>
        <v>20.8</v>
      </c>
      <c r="H96" s="483"/>
      <c r="I96" s="296"/>
      <c r="J96" s="483"/>
      <c r="K96" s="296"/>
      <c r="L96" s="483">
        <v>16</v>
      </c>
      <c r="M96" s="483">
        <v>4</v>
      </c>
      <c r="N96" s="296">
        <v>360</v>
      </c>
      <c r="O96" s="483"/>
      <c r="P96" s="296"/>
      <c r="Q96" s="296">
        <v>0.07</v>
      </c>
      <c r="R96" s="296">
        <v>0.095</v>
      </c>
      <c r="S96" s="296">
        <v>0.16</v>
      </c>
    </row>
    <row r="97" spans="1:19" ht="21" customHeight="1">
      <c r="A97" s="758" t="s">
        <v>549</v>
      </c>
      <c r="B97" s="758"/>
      <c r="C97" s="758"/>
      <c r="D97" s="758"/>
      <c r="E97" s="758"/>
      <c r="F97" s="758"/>
      <c r="G97" s="758"/>
      <c r="H97" s="758"/>
      <c r="I97" s="758"/>
      <c r="J97" s="758"/>
      <c r="K97" s="758"/>
      <c r="L97" s="758"/>
      <c r="M97" s="758"/>
      <c r="N97" s="758"/>
      <c r="O97" s="758"/>
      <c r="P97" s="758"/>
      <c r="Q97" s="758"/>
      <c r="R97" s="758"/>
      <c r="S97" s="758"/>
    </row>
  </sheetData>
  <sheetProtection/>
  <mergeCells count="13">
    <mergeCell ref="B2:B3"/>
    <mergeCell ref="C2:C3"/>
    <mergeCell ref="A97:S97"/>
    <mergeCell ref="A1:S1"/>
    <mergeCell ref="D2:D3"/>
    <mergeCell ref="E2:E3"/>
    <mergeCell ref="F2:G2"/>
    <mergeCell ref="H2:I2"/>
    <mergeCell ref="J2:K2"/>
    <mergeCell ref="M2:N2"/>
    <mergeCell ref="O2:P2"/>
    <mergeCell ref="Q2:S2"/>
    <mergeCell ref="A2:A3"/>
  </mergeCells>
  <printOptions horizontalCentered="1"/>
  <pageMargins left="0.7086614173228347" right="0.7086614173228347" top="0.7480314960629921" bottom="0.7480314960629921" header="0.31496062992125984" footer="0.31496062992125984"/>
  <pageSetup horizontalDpi="600" verticalDpi="600" orientation="landscape" paperSize="9" scale="90" r:id="rId1"/>
  <headerFooter>
    <oddFooter>&amp;C第 &amp;P 页，共 &amp;N 页</oddFooter>
  </headerFooter>
</worksheet>
</file>

<file path=xl/worksheets/sheet14.xml><?xml version="1.0" encoding="utf-8"?>
<worksheet xmlns="http://schemas.openxmlformats.org/spreadsheetml/2006/main" xmlns:r="http://schemas.openxmlformats.org/officeDocument/2006/relationships">
  <sheetPr>
    <tabColor rgb="FFFF0000"/>
  </sheetPr>
  <dimension ref="A1:V100"/>
  <sheetViews>
    <sheetView showZeros="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92" sqref="C92"/>
    </sheetView>
  </sheetViews>
  <sheetFormatPr defaultColWidth="9.00390625" defaultRowHeight="13.5"/>
  <cols>
    <col min="1" max="1" width="4.25390625" style="0" hidden="1" customWidth="1"/>
    <col min="2" max="2" width="7.00390625" style="0" customWidth="1"/>
    <col min="3" max="3" width="7.00390625" style="50" customWidth="1"/>
    <col min="4" max="4" width="6.50390625" style="0" customWidth="1"/>
    <col min="5" max="5" width="10.50390625" style="0" bestFit="1" customWidth="1"/>
    <col min="6" max="6" width="5.375" style="33" customWidth="1"/>
    <col min="7" max="7" width="9.875" style="0" customWidth="1"/>
    <col min="8" max="8" width="5.50390625" style="33" customWidth="1"/>
    <col min="9" max="9" width="9.875" style="0" customWidth="1"/>
    <col min="10" max="10" width="6.125" style="33" customWidth="1"/>
    <col min="11" max="11" width="11.00390625" style="0" customWidth="1"/>
    <col min="12" max="13" width="5.50390625" style="33" customWidth="1"/>
    <col min="14" max="14" width="9.875" style="0" customWidth="1"/>
    <col min="15" max="15" width="4.625" style="33" customWidth="1"/>
    <col min="16" max="18" width="9.875" style="0" customWidth="1"/>
    <col min="19" max="19" width="11.125" style="0" customWidth="1"/>
    <col min="20" max="20" width="16.375" style="0" hidden="1" customWidth="1"/>
  </cols>
  <sheetData>
    <row r="1" spans="1:20" ht="18.75">
      <c r="A1" s="832" t="s">
        <v>1016</v>
      </c>
      <c r="B1" s="832"/>
      <c r="C1" s="832"/>
      <c r="D1" s="832"/>
      <c r="E1" s="832"/>
      <c r="F1" s="832"/>
      <c r="G1" s="832"/>
      <c r="H1" s="832"/>
      <c r="I1" s="832"/>
      <c r="J1" s="832"/>
      <c r="K1" s="832"/>
      <c r="L1" s="832"/>
      <c r="M1" s="832"/>
      <c r="N1" s="832"/>
      <c r="O1" s="832"/>
      <c r="P1" s="832"/>
      <c r="Q1" s="832"/>
      <c r="R1" s="832"/>
      <c r="S1" s="832"/>
      <c r="T1" s="832"/>
    </row>
    <row r="2" spans="1:20" s="30" customFormat="1" ht="24.75" customHeight="1">
      <c r="A2" s="698" t="s">
        <v>1014</v>
      </c>
      <c r="B2" s="741" t="s">
        <v>809</v>
      </c>
      <c r="C2" s="741" t="s">
        <v>986</v>
      </c>
      <c r="D2" s="741" t="s">
        <v>1013</v>
      </c>
      <c r="E2" s="741" t="s">
        <v>997</v>
      </c>
      <c r="F2" s="741" t="s">
        <v>998</v>
      </c>
      <c r="G2" s="741"/>
      <c r="H2" s="741" t="s">
        <v>999</v>
      </c>
      <c r="I2" s="741"/>
      <c r="J2" s="741" t="s">
        <v>1000</v>
      </c>
      <c r="K2" s="741"/>
      <c r="L2" s="487" t="s">
        <v>1001</v>
      </c>
      <c r="M2" s="741" t="s">
        <v>1002</v>
      </c>
      <c r="N2" s="741"/>
      <c r="O2" s="741" t="s">
        <v>1003</v>
      </c>
      <c r="P2" s="741"/>
      <c r="Q2" s="698" t="s">
        <v>1004</v>
      </c>
      <c r="R2" s="698"/>
      <c r="S2" s="698"/>
      <c r="T2" s="698" t="s">
        <v>877</v>
      </c>
    </row>
    <row r="3" spans="1:20" s="30" customFormat="1" ht="24">
      <c r="A3" s="698"/>
      <c r="B3" s="741"/>
      <c r="C3" s="741"/>
      <c r="D3" s="741"/>
      <c r="E3" s="741"/>
      <c r="F3" s="487" t="s">
        <v>1005</v>
      </c>
      <c r="G3" s="29" t="s">
        <v>1006</v>
      </c>
      <c r="H3" s="487" t="s">
        <v>1005</v>
      </c>
      <c r="I3" s="29" t="s">
        <v>1006</v>
      </c>
      <c r="J3" s="487" t="s">
        <v>1007</v>
      </c>
      <c r="K3" s="29" t="s">
        <v>1008</v>
      </c>
      <c r="L3" s="487" t="s">
        <v>1009</v>
      </c>
      <c r="M3" s="487" t="s">
        <v>1009</v>
      </c>
      <c r="N3" s="29" t="s">
        <v>1010</v>
      </c>
      <c r="O3" s="487" t="s">
        <v>1011</v>
      </c>
      <c r="P3" s="29" t="s">
        <v>1012</v>
      </c>
      <c r="Q3" s="205" t="s">
        <v>2306</v>
      </c>
      <c r="R3" s="205" t="s">
        <v>2307</v>
      </c>
      <c r="S3" s="29" t="s">
        <v>1015</v>
      </c>
      <c r="T3" s="698"/>
    </row>
    <row r="4" spans="1:20" s="93" customFormat="1" ht="12">
      <c r="A4" s="98"/>
      <c r="B4" s="99" t="s">
        <v>1754</v>
      </c>
      <c r="C4" s="99"/>
      <c r="D4" s="239"/>
      <c r="E4" s="240">
        <f aca="true" t="shared" si="0" ref="E4:S4">E5+E19+E29+E54+E68+E76+E92</f>
        <v>67766.12</v>
      </c>
      <c r="F4" s="253">
        <f t="shared" si="0"/>
        <v>1022</v>
      </c>
      <c r="G4" s="240">
        <f t="shared" si="0"/>
        <v>966.941</v>
      </c>
      <c r="H4" s="253">
        <f t="shared" si="0"/>
        <v>139</v>
      </c>
      <c r="I4" s="240">
        <f t="shared" si="0"/>
        <v>212.60000000000002</v>
      </c>
      <c r="J4" s="253">
        <f t="shared" si="0"/>
        <v>20604</v>
      </c>
      <c r="K4" s="240">
        <f t="shared" si="0"/>
        <v>415200</v>
      </c>
      <c r="L4" s="253">
        <f t="shared" si="0"/>
        <v>837</v>
      </c>
      <c r="M4" s="253">
        <f t="shared" si="0"/>
        <v>107</v>
      </c>
      <c r="N4" s="240">
        <f t="shared" si="0"/>
        <v>4130.5</v>
      </c>
      <c r="O4" s="253">
        <f t="shared" si="0"/>
        <v>102</v>
      </c>
      <c r="P4" s="240">
        <f t="shared" si="0"/>
        <v>11840</v>
      </c>
      <c r="Q4" s="240">
        <f t="shared" si="0"/>
        <v>1.5700500000000002</v>
      </c>
      <c r="R4" s="240">
        <f t="shared" si="0"/>
        <v>7.678610000000001</v>
      </c>
      <c r="S4" s="240">
        <f t="shared" si="0"/>
        <v>10.908800000000001</v>
      </c>
      <c r="T4" s="98"/>
    </row>
    <row r="5" spans="1:20" s="97" customFormat="1" ht="15" customHeight="1">
      <c r="A5" s="95"/>
      <c r="B5" s="95"/>
      <c r="C5" s="96" t="s">
        <v>1298</v>
      </c>
      <c r="D5" s="96"/>
      <c r="E5" s="241">
        <f>SUM(E6:E18)+5000*4500/10000</f>
        <v>9286.68</v>
      </c>
      <c r="F5" s="488">
        <f aca="true" t="shared" si="1" ref="F5:S5">SUM(F6:F18)</f>
        <v>150</v>
      </c>
      <c r="G5" s="241">
        <f t="shared" si="1"/>
        <v>198.90599999999998</v>
      </c>
      <c r="H5" s="488">
        <f t="shared" si="1"/>
        <v>1</v>
      </c>
      <c r="I5" s="241">
        <f t="shared" si="1"/>
        <v>30</v>
      </c>
      <c r="J5" s="488">
        <f>SUM(J6:J18)+5000</f>
        <v>5000</v>
      </c>
      <c r="K5" s="241">
        <f>5000*20</f>
        <v>100000</v>
      </c>
      <c r="L5" s="488">
        <f t="shared" si="1"/>
        <v>74</v>
      </c>
      <c r="M5" s="488">
        <f t="shared" si="1"/>
        <v>8</v>
      </c>
      <c r="N5" s="241">
        <f t="shared" si="1"/>
        <v>285</v>
      </c>
      <c r="O5" s="488">
        <f t="shared" si="1"/>
        <v>0</v>
      </c>
      <c r="P5" s="241">
        <f t="shared" si="1"/>
        <v>0</v>
      </c>
      <c r="Q5" s="241">
        <f t="shared" si="1"/>
        <v>0</v>
      </c>
      <c r="R5" s="241">
        <f t="shared" si="1"/>
        <v>0.8066000000000002</v>
      </c>
      <c r="S5" s="241">
        <f t="shared" si="1"/>
        <v>0.446</v>
      </c>
      <c r="T5" s="96"/>
    </row>
    <row r="6" spans="1:20" ht="15" customHeight="1">
      <c r="A6" s="67"/>
      <c r="B6" s="67"/>
      <c r="C6" s="17"/>
      <c r="D6" s="17" t="s">
        <v>1301</v>
      </c>
      <c r="E6" s="19">
        <v>555.04</v>
      </c>
      <c r="F6" s="489">
        <v>27</v>
      </c>
      <c r="G6" s="17">
        <v>12.486</v>
      </c>
      <c r="H6" s="489"/>
      <c r="I6" s="17"/>
      <c r="J6" s="489"/>
      <c r="K6" s="17"/>
      <c r="L6" s="489">
        <v>3</v>
      </c>
      <c r="M6" s="489"/>
      <c r="N6" s="17"/>
      <c r="O6" s="489"/>
      <c r="P6" s="17"/>
      <c r="Q6" s="17"/>
      <c r="R6" s="17">
        <v>0.0847</v>
      </c>
      <c r="S6" s="17"/>
      <c r="T6" s="17"/>
    </row>
    <row r="7" spans="1:20" ht="15" customHeight="1">
      <c r="A7" s="67"/>
      <c r="B7" s="67"/>
      <c r="C7" s="17"/>
      <c r="D7" s="17" t="s">
        <v>1305</v>
      </c>
      <c r="E7" s="19">
        <v>645.8</v>
      </c>
      <c r="F7" s="489">
        <v>23</v>
      </c>
      <c r="G7" s="17">
        <v>25.2</v>
      </c>
      <c r="H7" s="489"/>
      <c r="I7" s="17"/>
      <c r="J7" s="489"/>
      <c r="K7" s="17"/>
      <c r="L7" s="489">
        <v>8</v>
      </c>
      <c r="M7" s="489"/>
      <c r="N7" s="17"/>
      <c r="O7" s="489"/>
      <c r="P7" s="17"/>
      <c r="Q7" s="17"/>
      <c r="R7" s="17">
        <v>0.097</v>
      </c>
      <c r="S7" s="17"/>
      <c r="T7" s="17"/>
    </row>
    <row r="8" spans="1:20" ht="15" customHeight="1">
      <c r="A8" s="67"/>
      <c r="B8" s="67"/>
      <c r="C8" s="17"/>
      <c r="D8" s="17" t="s">
        <v>1306</v>
      </c>
      <c r="E8" s="19">
        <v>453.21</v>
      </c>
      <c r="F8" s="489">
        <v>6</v>
      </c>
      <c r="G8" s="17">
        <v>6.9</v>
      </c>
      <c r="H8" s="489"/>
      <c r="I8" s="17"/>
      <c r="J8" s="489"/>
      <c r="K8" s="17"/>
      <c r="L8" s="489">
        <v>8</v>
      </c>
      <c r="M8" s="489"/>
      <c r="N8" s="17"/>
      <c r="O8" s="489"/>
      <c r="P8" s="17"/>
      <c r="Q8" s="17"/>
      <c r="R8" s="17">
        <v>0.033</v>
      </c>
      <c r="S8" s="17"/>
      <c r="T8" s="17"/>
    </row>
    <row r="9" spans="1:20" ht="15" customHeight="1">
      <c r="A9" s="67"/>
      <c r="B9" s="67"/>
      <c r="C9" s="17"/>
      <c r="D9" s="17" t="s">
        <v>1308</v>
      </c>
      <c r="E9" s="19">
        <v>680.95</v>
      </c>
      <c r="F9" s="489">
        <v>19</v>
      </c>
      <c r="G9" s="17">
        <v>23.567</v>
      </c>
      <c r="H9" s="489"/>
      <c r="I9" s="17"/>
      <c r="J9" s="489"/>
      <c r="K9" s="17"/>
      <c r="L9" s="489">
        <v>16</v>
      </c>
      <c r="M9" s="489"/>
      <c r="N9" s="17"/>
      <c r="O9" s="489"/>
      <c r="P9" s="17"/>
      <c r="Q9" s="17"/>
      <c r="R9" s="17">
        <v>0.1297</v>
      </c>
      <c r="S9" s="17"/>
      <c r="T9" s="17"/>
    </row>
    <row r="10" spans="1:20" ht="15" customHeight="1">
      <c r="A10" s="67"/>
      <c r="B10" s="67"/>
      <c r="C10" s="17"/>
      <c r="D10" s="17" t="s">
        <v>1302</v>
      </c>
      <c r="E10" s="19">
        <v>223</v>
      </c>
      <c r="F10" s="489">
        <v>1</v>
      </c>
      <c r="G10" s="17">
        <v>2.5</v>
      </c>
      <c r="H10" s="489"/>
      <c r="I10" s="17"/>
      <c r="J10" s="489"/>
      <c r="K10" s="17"/>
      <c r="L10" s="489">
        <v>7</v>
      </c>
      <c r="M10" s="489">
        <v>2</v>
      </c>
      <c r="N10" s="17">
        <v>110</v>
      </c>
      <c r="O10" s="489"/>
      <c r="P10" s="17"/>
      <c r="Q10" s="17"/>
      <c r="R10" s="17">
        <v>0.0835</v>
      </c>
      <c r="S10" s="17"/>
      <c r="T10" s="17"/>
    </row>
    <row r="11" spans="1:20" ht="15" customHeight="1">
      <c r="A11" s="67"/>
      <c r="B11" s="67"/>
      <c r="C11" s="17"/>
      <c r="D11" s="17" t="s">
        <v>1310</v>
      </c>
      <c r="E11" s="19">
        <v>675.47</v>
      </c>
      <c r="F11" s="489">
        <v>12</v>
      </c>
      <c r="G11" s="17">
        <v>20.363</v>
      </c>
      <c r="H11" s="489"/>
      <c r="I11" s="17"/>
      <c r="J11" s="489"/>
      <c r="K11" s="17"/>
      <c r="L11" s="489">
        <v>5</v>
      </c>
      <c r="M11" s="489"/>
      <c r="N11" s="17"/>
      <c r="O11" s="489"/>
      <c r="P11" s="17"/>
      <c r="Q11" s="17"/>
      <c r="R11" s="17">
        <v>0.073</v>
      </c>
      <c r="S11" s="17"/>
      <c r="T11" s="17"/>
    </row>
    <row r="12" spans="1:20" ht="15" customHeight="1">
      <c r="A12" s="67"/>
      <c r="B12" s="67"/>
      <c r="C12" s="17"/>
      <c r="D12" s="17" t="s">
        <v>1312</v>
      </c>
      <c r="E12" s="19">
        <v>487.94</v>
      </c>
      <c r="F12" s="489">
        <v>8</v>
      </c>
      <c r="G12" s="17">
        <v>11.83</v>
      </c>
      <c r="H12" s="489"/>
      <c r="I12" s="17"/>
      <c r="J12" s="489"/>
      <c r="K12" s="17"/>
      <c r="L12" s="489">
        <v>7</v>
      </c>
      <c r="M12" s="489"/>
      <c r="N12" s="17"/>
      <c r="O12" s="489"/>
      <c r="P12" s="17"/>
      <c r="Q12" s="17"/>
      <c r="R12" s="17">
        <v>0.0352</v>
      </c>
      <c r="S12" s="17"/>
      <c r="T12" s="17"/>
    </row>
    <row r="13" spans="1:20" ht="15" customHeight="1">
      <c r="A13" s="67"/>
      <c r="B13" s="67"/>
      <c r="C13" s="17"/>
      <c r="D13" s="17" t="s">
        <v>1314</v>
      </c>
      <c r="E13" s="19">
        <v>936.45</v>
      </c>
      <c r="F13" s="489">
        <v>6</v>
      </c>
      <c r="G13" s="17">
        <v>18.74</v>
      </c>
      <c r="H13" s="489">
        <v>1</v>
      </c>
      <c r="I13" s="17">
        <v>30</v>
      </c>
      <c r="J13" s="489"/>
      <c r="K13" s="17"/>
      <c r="L13" s="489"/>
      <c r="M13" s="489">
        <v>1</v>
      </c>
      <c r="N13" s="17">
        <v>50</v>
      </c>
      <c r="O13" s="489"/>
      <c r="P13" s="17"/>
      <c r="Q13" s="17"/>
      <c r="R13" s="17">
        <v>0.037</v>
      </c>
      <c r="S13" s="17">
        <v>0.4</v>
      </c>
      <c r="T13" s="61" t="s">
        <v>1324</v>
      </c>
    </row>
    <row r="14" spans="1:20" ht="15" customHeight="1">
      <c r="A14" s="67"/>
      <c r="B14" s="67"/>
      <c r="C14" s="17"/>
      <c r="D14" s="17" t="s">
        <v>1315</v>
      </c>
      <c r="E14" s="19">
        <v>258</v>
      </c>
      <c r="F14" s="489">
        <v>5</v>
      </c>
      <c r="G14" s="17">
        <v>5.9</v>
      </c>
      <c r="H14" s="489"/>
      <c r="I14" s="17"/>
      <c r="J14" s="489"/>
      <c r="K14" s="17"/>
      <c r="L14" s="489">
        <v>1</v>
      </c>
      <c r="M14" s="489">
        <v>1</v>
      </c>
      <c r="N14" s="17">
        <v>55</v>
      </c>
      <c r="O14" s="489"/>
      <c r="P14" s="17"/>
      <c r="Q14" s="17"/>
      <c r="R14" s="17">
        <v>0.0325</v>
      </c>
      <c r="S14" s="17"/>
      <c r="T14" s="17"/>
    </row>
    <row r="15" spans="1:20" ht="15" customHeight="1">
      <c r="A15" s="67"/>
      <c r="B15" s="67"/>
      <c r="C15" s="17"/>
      <c r="D15" s="17" t="s">
        <v>1316</v>
      </c>
      <c r="E15" s="19">
        <v>766.29</v>
      </c>
      <c r="F15" s="489">
        <v>11</v>
      </c>
      <c r="G15" s="17">
        <v>35.5</v>
      </c>
      <c r="H15" s="489"/>
      <c r="I15" s="17"/>
      <c r="J15" s="489"/>
      <c r="K15" s="17"/>
      <c r="L15" s="489">
        <v>4</v>
      </c>
      <c r="M15" s="489">
        <v>2</v>
      </c>
      <c r="N15" s="17">
        <v>70</v>
      </c>
      <c r="O15" s="489"/>
      <c r="P15" s="17"/>
      <c r="Q15" s="17"/>
      <c r="R15" s="17">
        <v>0.052</v>
      </c>
      <c r="S15" s="17">
        <v>0.046</v>
      </c>
      <c r="T15" s="17"/>
    </row>
    <row r="16" spans="1:20" ht="15" customHeight="1">
      <c r="A16" s="67"/>
      <c r="B16" s="67"/>
      <c r="C16" s="17"/>
      <c r="D16" s="17" t="s">
        <v>1323</v>
      </c>
      <c r="E16" s="19">
        <v>428.2</v>
      </c>
      <c r="F16" s="489">
        <v>7</v>
      </c>
      <c r="G16" s="17">
        <v>11.44</v>
      </c>
      <c r="H16" s="489"/>
      <c r="I16" s="17"/>
      <c r="J16" s="489"/>
      <c r="K16" s="17"/>
      <c r="L16" s="489">
        <v>9</v>
      </c>
      <c r="M16" s="489"/>
      <c r="N16" s="17"/>
      <c r="O16" s="489"/>
      <c r="P16" s="17"/>
      <c r="Q16" s="17"/>
      <c r="R16" s="17">
        <v>0.029</v>
      </c>
      <c r="S16" s="17"/>
      <c r="T16" s="17"/>
    </row>
    <row r="17" spans="1:20" ht="15" customHeight="1">
      <c r="A17" s="67"/>
      <c r="B17" s="67"/>
      <c r="C17" s="17"/>
      <c r="D17" s="17" t="s">
        <v>1309</v>
      </c>
      <c r="E17" s="19">
        <v>228.01</v>
      </c>
      <c r="F17" s="489">
        <v>5</v>
      </c>
      <c r="G17" s="17">
        <v>7.7</v>
      </c>
      <c r="H17" s="489"/>
      <c r="I17" s="17"/>
      <c r="J17" s="489"/>
      <c r="K17" s="17"/>
      <c r="L17" s="489">
        <v>1</v>
      </c>
      <c r="M17" s="489"/>
      <c r="N17" s="17"/>
      <c r="O17" s="489"/>
      <c r="P17" s="17"/>
      <c r="Q17" s="17"/>
      <c r="R17" s="17">
        <v>0.056</v>
      </c>
      <c r="S17" s="17"/>
      <c r="T17" s="17"/>
    </row>
    <row r="18" spans="1:21" ht="15" customHeight="1">
      <c r="A18" s="67"/>
      <c r="B18" s="67"/>
      <c r="C18" s="17"/>
      <c r="D18" s="17" t="s">
        <v>1303</v>
      </c>
      <c r="E18" s="19">
        <v>698.32</v>
      </c>
      <c r="F18" s="489">
        <v>20</v>
      </c>
      <c r="G18" s="17">
        <v>16.78</v>
      </c>
      <c r="H18" s="489"/>
      <c r="I18" s="17"/>
      <c r="J18" s="489"/>
      <c r="K18" s="17"/>
      <c r="L18" s="489">
        <v>5</v>
      </c>
      <c r="M18" s="489">
        <v>2</v>
      </c>
      <c r="N18" s="17"/>
      <c r="O18" s="489"/>
      <c r="P18" s="17"/>
      <c r="Q18" s="17"/>
      <c r="R18" s="17">
        <v>0.064</v>
      </c>
      <c r="S18" s="17"/>
      <c r="T18" s="518"/>
      <c r="U18" s="523"/>
    </row>
    <row r="19" spans="1:21" s="97" customFormat="1" ht="15" customHeight="1">
      <c r="A19" s="95"/>
      <c r="B19" s="95"/>
      <c r="C19" s="109" t="s">
        <v>1390</v>
      </c>
      <c r="D19" s="96"/>
      <c r="E19" s="242">
        <f>SUM(E20:E28)</f>
        <v>10411</v>
      </c>
      <c r="F19" s="242">
        <f aca="true" t="shared" si="2" ref="F19:S19">SUM(F20:F28)</f>
        <v>66</v>
      </c>
      <c r="G19" s="242">
        <f t="shared" si="2"/>
        <v>112</v>
      </c>
      <c r="H19" s="242">
        <f t="shared" si="2"/>
        <v>27</v>
      </c>
      <c r="I19" s="242">
        <f t="shared" si="2"/>
        <v>49</v>
      </c>
      <c r="J19" s="242">
        <f t="shared" si="2"/>
        <v>214</v>
      </c>
      <c r="K19" s="242">
        <f t="shared" si="2"/>
        <v>7400</v>
      </c>
      <c r="L19" s="242">
        <f t="shared" si="2"/>
        <v>114</v>
      </c>
      <c r="M19" s="242">
        <f t="shared" si="2"/>
        <v>13</v>
      </c>
      <c r="N19" s="242">
        <f t="shared" si="2"/>
        <v>128</v>
      </c>
      <c r="O19" s="242">
        <f t="shared" si="2"/>
        <v>23</v>
      </c>
      <c r="P19" s="242">
        <f t="shared" si="2"/>
        <v>4600</v>
      </c>
      <c r="Q19" s="242">
        <f t="shared" si="2"/>
        <v>0.092</v>
      </c>
      <c r="R19" s="242">
        <f t="shared" si="2"/>
        <v>0.933</v>
      </c>
      <c r="S19" s="242">
        <f t="shared" si="2"/>
        <v>1.1123</v>
      </c>
      <c r="T19" s="519"/>
      <c r="U19" s="524"/>
    </row>
    <row r="20" spans="1:21" ht="15" customHeight="1">
      <c r="A20" s="67"/>
      <c r="B20" s="67"/>
      <c r="C20" s="65"/>
      <c r="D20" s="527" t="s">
        <v>2466</v>
      </c>
      <c r="E20" s="527">
        <v>1700</v>
      </c>
      <c r="F20" s="528">
        <v>12</v>
      </c>
      <c r="G20" s="527">
        <v>21</v>
      </c>
      <c r="H20" s="528">
        <v>5</v>
      </c>
      <c r="I20" s="527">
        <v>16</v>
      </c>
      <c r="J20" s="528">
        <v>5</v>
      </c>
      <c r="K20" s="527">
        <v>1000</v>
      </c>
      <c r="L20" s="528">
        <v>25</v>
      </c>
      <c r="M20" s="528">
        <v>3</v>
      </c>
      <c r="N20" s="527">
        <v>30</v>
      </c>
      <c r="O20" s="528">
        <v>5</v>
      </c>
      <c r="P20" s="527">
        <v>1000</v>
      </c>
      <c r="Q20" s="527">
        <v>0.015</v>
      </c>
      <c r="R20" s="527">
        <v>0.138</v>
      </c>
      <c r="S20" s="527">
        <v>0.1146</v>
      </c>
      <c r="T20" s="520"/>
      <c r="U20" s="525"/>
    </row>
    <row r="21" spans="1:21" ht="15" customHeight="1">
      <c r="A21" s="67"/>
      <c r="B21" s="67"/>
      <c r="C21" s="65"/>
      <c r="D21" s="527" t="s">
        <v>2467</v>
      </c>
      <c r="E21" s="527">
        <v>1700</v>
      </c>
      <c r="F21" s="528">
        <v>8</v>
      </c>
      <c r="G21" s="527">
        <v>15</v>
      </c>
      <c r="H21" s="528">
        <v>3</v>
      </c>
      <c r="I21" s="527">
        <v>10</v>
      </c>
      <c r="J21" s="528">
        <v>4</v>
      </c>
      <c r="K21" s="527">
        <v>100</v>
      </c>
      <c r="L21" s="528">
        <v>20</v>
      </c>
      <c r="M21" s="528">
        <v>2</v>
      </c>
      <c r="N21" s="527">
        <v>15</v>
      </c>
      <c r="O21" s="528">
        <v>6</v>
      </c>
      <c r="P21" s="527">
        <v>1200</v>
      </c>
      <c r="Q21" s="527">
        <v>0.017</v>
      </c>
      <c r="R21" s="527">
        <v>0.162</v>
      </c>
      <c r="S21" s="527">
        <v>0.1845</v>
      </c>
      <c r="T21" s="520"/>
      <c r="U21" s="525"/>
    </row>
    <row r="22" spans="1:21" ht="15" customHeight="1">
      <c r="A22" s="67"/>
      <c r="B22" s="67"/>
      <c r="C22" s="65"/>
      <c r="D22" s="527" t="s">
        <v>2468</v>
      </c>
      <c r="E22" s="527">
        <v>1800</v>
      </c>
      <c r="F22" s="528">
        <v>16</v>
      </c>
      <c r="G22" s="527">
        <v>30</v>
      </c>
      <c r="H22" s="528">
        <v>4</v>
      </c>
      <c r="I22" s="527">
        <v>8</v>
      </c>
      <c r="J22" s="528">
        <v>6</v>
      </c>
      <c r="K22" s="527">
        <v>800</v>
      </c>
      <c r="L22" s="528">
        <v>32</v>
      </c>
      <c r="M22" s="528">
        <v>4</v>
      </c>
      <c r="N22" s="527">
        <v>35</v>
      </c>
      <c r="O22" s="528">
        <v>8</v>
      </c>
      <c r="P22" s="527">
        <v>1600</v>
      </c>
      <c r="Q22" s="527">
        <v>0.024</v>
      </c>
      <c r="R22" s="527">
        <v>0.185</v>
      </c>
      <c r="S22" s="527">
        <v>0.2281</v>
      </c>
      <c r="T22" s="520"/>
      <c r="U22" s="525"/>
    </row>
    <row r="23" spans="1:21" ht="15" customHeight="1">
      <c r="A23" s="67"/>
      <c r="B23" s="67"/>
      <c r="C23" s="65"/>
      <c r="D23" s="527" t="s">
        <v>2469</v>
      </c>
      <c r="E23" s="527">
        <f>1700+12*16</f>
        <v>1892</v>
      </c>
      <c r="F23" s="528">
        <v>8</v>
      </c>
      <c r="G23" s="527">
        <v>18</v>
      </c>
      <c r="H23" s="528">
        <v>5</v>
      </c>
      <c r="I23" s="527">
        <v>5</v>
      </c>
      <c r="J23" s="528">
        <v>3</v>
      </c>
      <c r="K23" s="527">
        <v>500</v>
      </c>
      <c r="L23" s="528">
        <v>21</v>
      </c>
      <c r="M23" s="528">
        <v>2</v>
      </c>
      <c r="N23" s="527">
        <v>15</v>
      </c>
      <c r="O23" s="528">
        <v>1</v>
      </c>
      <c r="P23" s="527">
        <v>200</v>
      </c>
      <c r="Q23" s="527">
        <v>0.012</v>
      </c>
      <c r="R23" s="527">
        <v>0.156</v>
      </c>
      <c r="S23" s="527">
        <v>0.2185</v>
      </c>
      <c r="T23" s="520"/>
      <c r="U23" s="526"/>
    </row>
    <row r="24" spans="1:21" ht="15" customHeight="1">
      <c r="A24" s="67"/>
      <c r="B24" s="67"/>
      <c r="C24" s="65"/>
      <c r="D24" s="527" t="s">
        <v>2470</v>
      </c>
      <c r="E24" s="527">
        <v>1700</v>
      </c>
      <c r="F24" s="528">
        <v>7</v>
      </c>
      <c r="G24" s="527">
        <v>8</v>
      </c>
      <c r="H24" s="528">
        <v>6</v>
      </c>
      <c r="I24" s="527">
        <v>5</v>
      </c>
      <c r="J24" s="528">
        <v>3</v>
      </c>
      <c r="K24" s="527">
        <v>600</v>
      </c>
      <c r="L24" s="528">
        <v>12</v>
      </c>
      <c r="M24" s="528">
        <v>1</v>
      </c>
      <c r="N24" s="527">
        <v>22</v>
      </c>
      <c r="O24" s="528">
        <v>2</v>
      </c>
      <c r="P24" s="527">
        <v>400</v>
      </c>
      <c r="Q24" s="527">
        <v>0.014</v>
      </c>
      <c r="R24" s="527">
        <v>0.123</v>
      </c>
      <c r="S24" s="527">
        <v>0.1047</v>
      </c>
      <c r="T24" s="520"/>
      <c r="U24" s="525"/>
    </row>
    <row r="25" spans="1:21" ht="15" customHeight="1">
      <c r="A25" s="67"/>
      <c r="B25" s="67"/>
      <c r="C25" s="65"/>
      <c r="D25" s="527" t="s">
        <v>2471</v>
      </c>
      <c r="E25" s="527">
        <v>1400</v>
      </c>
      <c r="F25" s="528">
        <v>10</v>
      </c>
      <c r="G25" s="527">
        <v>13</v>
      </c>
      <c r="H25" s="528">
        <v>4</v>
      </c>
      <c r="I25" s="527">
        <v>5</v>
      </c>
      <c r="J25" s="528">
        <v>3</v>
      </c>
      <c r="K25" s="527">
        <v>600</v>
      </c>
      <c r="L25" s="528">
        <v>3</v>
      </c>
      <c r="M25" s="528">
        <v>1</v>
      </c>
      <c r="N25" s="527">
        <v>11</v>
      </c>
      <c r="O25" s="528">
        <v>1</v>
      </c>
      <c r="P25" s="527">
        <v>200</v>
      </c>
      <c r="Q25" s="527">
        <v>0.01</v>
      </c>
      <c r="R25" s="527">
        <v>0.128</v>
      </c>
      <c r="S25" s="527">
        <v>0.1768</v>
      </c>
      <c r="T25" s="520"/>
      <c r="U25" s="525"/>
    </row>
    <row r="26" spans="1:21" ht="15" customHeight="1">
      <c r="A26" s="67"/>
      <c r="B26" s="67"/>
      <c r="C26" s="65"/>
      <c r="D26" s="527" t="s">
        <v>2472</v>
      </c>
      <c r="E26" s="527">
        <v>81</v>
      </c>
      <c r="F26" s="528">
        <v>2</v>
      </c>
      <c r="G26" s="527">
        <v>3</v>
      </c>
      <c r="H26" s="528"/>
      <c r="I26" s="527"/>
      <c r="J26" s="528">
        <v>60</v>
      </c>
      <c r="K26" s="527">
        <v>1200</v>
      </c>
      <c r="L26" s="528"/>
      <c r="M26" s="528"/>
      <c r="N26" s="527"/>
      <c r="O26" s="528"/>
      <c r="P26" s="527"/>
      <c r="Q26" s="527"/>
      <c r="R26" s="527">
        <v>0.013</v>
      </c>
      <c r="S26" s="529">
        <v>0.0261</v>
      </c>
      <c r="T26" s="520"/>
      <c r="U26" s="525"/>
    </row>
    <row r="27" spans="1:21" ht="15" customHeight="1">
      <c r="A27" s="67"/>
      <c r="B27" s="67"/>
      <c r="C27" s="65"/>
      <c r="D27" s="527" t="s">
        <v>2473</v>
      </c>
      <c r="E27" s="527">
        <v>78</v>
      </c>
      <c r="F27" s="528">
        <v>2</v>
      </c>
      <c r="G27" s="527">
        <v>2</v>
      </c>
      <c r="H27" s="528"/>
      <c r="I27" s="527"/>
      <c r="J27" s="528">
        <v>80</v>
      </c>
      <c r="K27" s="527">
        <v>1600</v>
      </c>
      <c r="L27" s="528"/>
      <c r="M27" s="528"/>
      <c r="N27" s="527"/>
      <c r="O27" s="528"/>
      <c r="P27" s="527"/>
      <c r="Q27" s="527"/>
      <c r="R27" s="527">
        <v>0.016</v>
      </c>
      <c r="S27" s="529">
        <v>0.0363</v>
      </c>
      <c r="T27" s="520"/>
      <c r="U27" s="525"/>
    </row>
    <row r="28" spans="1:21" ht="15" customHeight="1">
      <c r="A28" s="67"/>
      <c r="B28" s="67"/>
      <c r="C28" s="65"/>
      <c r="D28" s="527" t="s">
        <v>2474</v>
      </c>
      <c r="E28" s="527">
        <v>60</v>
      </c>
      <c r="F28" s="528">
        <v>1</v>
      </c>
      <c r="G28" s="527">
        <v>2</v>
      </c>
      <c r="H28" s="528"/>
      <c r="I28" s="527"/>
      <c r="J28" s="528">
        <v>50</v>
      </c>
      <c r="K28" s="527">
        <v>1000</v>
      </c>
      <c r="L28" s="528">
        <v>1</v>
      </c>
      <c r="M28" s="528"/>
      <c r="N28" s="527"/>
      <c r="O28" s="528"/>
      <c r="P28" s="527"/>
      <c r="Q28" s="527"/>
      <c r="R28" s="527">
        <v>0.012</v>
      </c>
      <c r="S28" s="529">
        <v>0.0227</v>
      </c>
      <c r="T28" s="520"/>
      <c r="U28" s="525"/>
    </row>
    <row r="29" spans="1:21" s="97" customFormat="1" ht="15" customHeight="1">
      <c r="A29" s="107"/>
      <c r="B29" s="107"/>
      <c r="C29" s="98" t="s">
        <v>1439</v>
      </c>
      <c r="D29" s="243">
        <v>24</v>
      </c>
      <c r="E29" s="239">
        <f>SUM(E30:E53)</f>
        <v>16604.99</v>
      </c>
      <c r="F29" s="253">
        <f aca="true" t="shared" si="3" ref="F29:S29">SUM(F30:F53)</f>
        <v>417</v>
      </c>
      <c r="G29" s="239">
        <f t="shared" si="3"/>
        <v>368.97999999999996</v>
      </c>
      <c r="H29" s="253"/>
      <c r="I29" s="239"/>
      <c r="J29" s="253"/>
      <c r="K29" s="239"/>
      <c r="L29" s="253">
        <f t="shared" si="3"/>
        <v>281</v>
      </c>
      <c r="M29" s="253">
        <f t="shared" si="3"/>
        <v>22</v>
      </c>
      <c r="N29" s="239">
        <f t="shared" si="3"/>
        <v>1650</v>
      </c>
      <c r="O29" s="253">
        <f t="shared" si="3"/>
        <v>0</v>
      </c>
      <c r="P29" s="239">
        <f t="shared" si="3"/>
        <v>0</v>
      </c>
      <c r="Q29" s="239">
        <f t="shared" si="3"/>
        <v>0</v>
      </c>
      <c r="R29" s="239">
        <f t="shared" si="3"/>
        <v>2.1694999999999998</v>
      </c>
      <c r="S29" s="239">
        <f t="shared" si="3"/>
        <v>2.5037000000000003</v>
      </c>
      <c r="T29" s="521"/>
      <c r="U29" s="526"/>
    </row>
    <row r="30" spans="1:21" ht="15" customHeight="1">
      <c r="A30" s="3"/>
      <c r="B30" s="3"/>
      <c r="C30" s="60"/>
      <c r="D30" s="232" t="s">
        <v>2308</v>
      </c>
      <c r="E30" s="244">
        <v>754.73</v>
      </c>
      <c r="F30" s="227">
        <v>9</v>
      </c>
      <c r="G30" s="231">
        <v>23.9</v>
      </c>
      <c r="H30" s="227"/>
      <c r="I30" s="231"/>
      <c r="J30" s="227"/>
      <c r="K30" s="231"/>
      <c r="L30" s="244">
        <v>9</v>
      </c>
      <c r="M30" s="227"/>
      <c r="N30" s="231"/>
      <c r="O30" s="227"/>
      <c r="P30" s="231"/>
      <c r="Q30" s="231"/>
      <c r="R30" s="231">
        <v>0.067</v>
      </c>
      <c r="S30" s="231">
        <v>0.156</v>
      </c>
      <c r="T30" s="522"/>
      <c r="U30" s="526"/>
    </row>
    <row r="31" spans="1:21" ht="15" customHeight="1">
      <c r="A31" s="3"/>
      <c r="B31" s="3"/>
      <c r="C31" s="60"/>
      <c r="D31" s="233" t="s">
        <v>2309</v>
      </c>
      <c r="E31" s="244">
        <v>377.48</v>
      </c>
      <c r="F31" s="227">
        <v>30</v>
      </c>
      <c r="G31" s="231">
        <v>19</v>
      </c>
      <c r="H31" s="227"/>
      <c r="I31" s="231"/>
      <c r="J31" s="227"/>
      <c r="K31" s="231"/>
      <c r="L31" s="244">
        <v>5</v>
      </c>
      <c r="M31" s="227"/>
      <c r="N31" s="231"/>
      <c r="O31" s="227"/>
      <c r="P31" s="231"/>
      <c r="Q31" s="231"/>
      <c r="R31" s="231">
        <v>0.0238</v>
      </c>
      <c r="S31" s="231">
        <v>0.123</v>
      </c>
      <c r="T31" s="522"/>
      <c r="U31" s="526"/>
    </row>
    <row r="32" spans="1:20" ht="15" customHeight="1">
      <c r="A32" s="3"/>
      <c r="B32" s="3"/>
      <c r="C32" s="60"/>
      <c r="D32" s="233" t="s">
        <v>2310</v>
      </c>
      <c r="E32" s="244">
        <v>824.66</v>
      </c>
      <c r="F32" s="227">
        <v>19</v>
      </c>
      <c r="G32" s="231">
        <v>30.6</v>
      </c>
      <c r="H32" s="227"/>
      <c r="I32" s="231"/>
      <c r="J32" s="227"/>
      <c r="K32" s="231"/>
      <c r="L32" s="244">
        <v>14</v>
      </c>
      <c r="M32" s="227"/>
      <c r="N32" s="231"/>
      <c r="O32" s="227"/>
      <c r="P32" s="231"/>
      <c r="Q32" s="231"/>
      <c r="R32" s="231">
        <v>0.0615</v>
      </c>
      <c r="S32" s="231">
        <v>0.056</v>
      </c>
      <c r="T32" s="60"/>
    </row>
    <row r="33" spans="1:20" ht="15" customHeight="1">
      <c r="A33" s="3"/>
      <c r="B33" s="3"/>
      <c r="C33" s="60"/>
      <c r="D33" s="233" t="s">
        <v>2311</v>
      </c>
      <c r="E33" s="245">
        <v>708.28</v>
      </c>
      <c r="F33" s="227">
        <v>17</v>
      </c>
      <c r="G33" s="231">
        <v>17.6</v>
      </c>
      <c r="H33" s="227"/>
      <c r="I33" s="231"/>
      <c r="J33" s="227"/>
      <c r="K33" s="231"/>
      <c r="L33" s="244">
        <v>10</v>
      </c>
      <c r="M33" s="227"/>
      <c r="N33" s="231"/>
      <c r="O33" s="227"/>
      <c r="P33" s="231"/>
      <c r="Q33" s="231"/>
      <c r="R33" s="231">
        <v>0.0849</v>
      </c>
      <c r="S33" s="231">
        <v>0.133</v>
      </c>
      <c r="T33" s="60"/>
    </row>
    <row r="34" spans="1:20" ht="15" customHeight="1">
      <c r="A34" s="3"/>
      <c r="B34" s="3"/>
      <c r="C34" s="60"/>
      <c r="D34" s="233" t="s">
        <v>2312</v>
      </c>
      <c r="E34" s="245">
        <v>260.39</v>
      </c>
      <c r="F34" s="227">
        <v>8</v>
      </c>
      <c r="G34" s="231">
        <v>7.4</v>
      </c>
      <c r="H34" s="227"/>
      <c r="I34" s="231"/>
      <c r="J34" s="227"/>
      <c r="K34" s="231"/>
      <c r="L34" s="244">
        <v>7</v>
      </c>
      <c r="M34" s="227"/>
      <c r="N34" s="231"/>
      <c r="O34" s="227"/>
      <c r="P34" s="231"/>
      <c r="Q34" s="231"/>
      <c r="R34" s="231">
        <v>0.0185</v>
      </c>
      <c r="S34" s="231">
        <v>0.105</v>
      </c>
      <c r="T34" s="60"/>
    </row>
    <row r="35" spans="1:20" ht="15" customHeight="1">
      <c r="A35" s="3"/>
      <c r="B35" s="3"/>
      <c r="C35" s="60"/>
      <c r="D35" s="233" t="s">
        <v>2313</v>
      </c>
      <c r="E35" s="245">
        <v>465.79</v>
      </c>
      <c r="F35" s="227">
        <v>15</v>
      </c>
      <c r="G35" s="231">
        <v>16.6</v>
      </c>
      <c r="H35" s="227"/>
      <c r="I35" s="231"/>
      <c r="J35" s="227"/>
      <c r="K35" s="231"/>
      <c r="L35" s="244">
        <v>7</v>
      </c>
      <c r="M35" s="227"/>
      <c r="N35" s="231"/>
      <c r="O35" s="227"/>
      <c r="P35" s="231"/>
      <c r="Q35" s="231"/>
      <c r="R35" s="231">
        <v>0.0499</v>
      </c>
      <c r="S35" s="231">
        <v>0.146</v>
      </c>
      <c r="T35" s="60"/>
    </row>
    <row r="36" spans="1:20" ht="15" customHeight="1">
      <c r="A36" s="3"/>
      <c r="B36" s="3"/>
      <c r="C36" s="60"/>
      <c r="D36" s="233" t="s">
        <v>2314</v>
      </c>
      <c r="E36" s="244">
        <v>457.19</v>
      </c>
      <c r="F36" s="227">
        <v>20</v>
      </c>
      <c r="G36" s="231">
        <v>20.8</v>
      </c>
      <c r="H36" s="227"/>
      <c r="I36" s="231"/>
      <c r="J36" s="227"/>
      <c r="K36" s="231"/>
      <c r="L36" s="244">
        <v>7</v>
      </c>
      <c r="M36" s="227"/>
      <c r="N36" s="231"/>
      <c r="O36" s="227"/>
      <c r="P36" s="231"/>
      <c r="Q36" s="231"/>
      <c r="R36" s="231">
        <v>0.055</v>
      </c>
      <c r="S36" s="231">
        <v>0.082</v>
      </c>
      <c r="T36" s="60"/>
    </row>
    <row r="37" spans="1:20" ht="15" customHeight="1">
      <c r="A37" s="3"/>
      <c r="B37" s="3"/>
      <c r="C37" s="60"/>
      <c r="D37" s="233" t="s">
        <v>2315</v>
      </c>
      <c r="E37" s="245">
        <v>677.97</v>
      </c>
      <c r="F37" s="227">
        <v>10</v>
      </c>
      <c r="G37" s="231">
        <v>26.4</v>
      </c>
      <c r="H37" s="227"/>
      <c r="I37" s="231"/>
      <c r="J37" s="227"/>
      <c r="K37" s="231"/>
      <c r="L37" s="244">
        <v>15</v>
      </c>
      <c r="M37" s="227"/>
      <c r="N37" s="231"/>
      <c r="O37" s="227"/>
      <c r="P37" s="231"/>
      <c r="Q37" s="231"/>
      <c r="R37" s="231">
        <v>0.0823</v>
      </c>
      <c r="S37" s="231">
        <v>0.065</v>
      </c>
      <c r="T37" s="60"/>
    </row>
    <row r="38" spans="1:20" ht="15" customHeight="1">
      <c r="A38" s="3"/>
      <c r="B38" s="3"/>
      <c r="C38" s="60"/>
      <c r="D38" s="233" t="s">
        <v>2316</v>
      </c>
      <c r="E38" s="245">
        <v>493.8</v>
      </c>
      <c r="F38" s="227">
        <v>6</v>
      </c>
      <c r="G38" s="231">
        <v>13.1</v>
      </c>
      <c r="H38" s="227"/>
      <c r="I38" s="231"/>
      <c r="J38" s="227"/>
      <c r="K38" s="231"/>
      <c r="L38" s="244">
        <v>10</v>
      </c>
      <c r="M38" s="227"/>
      <c r="N38" s="231"/>
      <c r="O38" s="227"/>
      <c r="P38" s="231"/>
      <c r="Q38" s="231"/>
      <c r="R38" s="231">
        <v>0.0953</v>
      </c>
      <c r="S38" s="231">
        <v>0.045</v>
      </c>
      <c r="T38" s="60"/>
    </row>
    <row r="39" spans="1:20" ht="15" customHeight="1">
      <c r="A39" s="3"/>
      <c r="B39" s="3"/>
      <c r="C39" s="60"/>
      <c r="D39" s="233" t="s">
        <v>2317</v>
      </c>
      <c r="E39" s="245">
        <v>215.88</v>
      </c>
      <c r="F39" s="227">
        <v>2</v>
      </c>
      <c r="G39" s="231">
        <v>1.7</v>
      </c>
      <c r="H39" s="227"/>
      <c r="I39" s="231"/>
      <c r="J39" s="227"/>
      <c r="K39" s="231"/>
      <c r="L39" s="244">
        <v>6</v>
      </c>
      <c r="M39" s="227"/>
      <c r="N39" s="231"/>
      <c r="O39" s="227"/>
      <c r="P39" s="231"/>
      <c r="Q39" s="231"/>
      <c r="R39" s="231">
        <v>0.0276</v>
      </c>
      <c r="S39" s="231">
        <v>0.096</v>
      </c>
      <c r="T39" s="60"/>
    </row>
    <row r="40" spans="1:20" ht="15" customHeight="1">
      <c r="A40" s="3"/>
      <c r="B40" s="3"/>
      <c r="C40" s="60"/>
      <c r="D40" s="234" t="s">
        <v>2318</v>
      </c>
      <c r="E40" s="245">
        <v>856.9</v>
      </c>
      <c r="F40" s="227">
        <v>16</v>
      </c>
      <c r="G40" s="231">
        <v>13.1</v>
      </c>
      <c r="H40" s="227"/>
      <c r="I40" s="231"/>
      <c r="J40" s="227"/>
      <c r="K40" s="231"/>
      <c r="L40" s="244">
        <v>25</v>
      </c>
      <c r="M40" s="227"/>
      <c r="N40" s="231"/>
      <c r="O40" s="227"/>
      <c r="P40" s="231"/>
      <c r="Q40" s="231"/>
      <c r="R40" s="231">
        <v>0.2063</v>
      </c>
      <c r="S40" s="231">
        <v>0.184</v>
      </c>
      <c r="T40" s="60"/>
    </row>
    <row r="41" spans="1:20" ht="15" customHeight="1">
      <c r="A41" s="3"/>
      <c r="B41" s="3"/>
      <c r="C41" s="60"/>
      <c r="D41" s="233" t="s">
        <v>2319</v>
      </c>
      <c r="E41" s="245">
        <v>527.58</v>
      </c>
      <c r="F41" s="227">
        <v>19</v>
      </c>
      <c r="G41" s="231">
        <v>14.9</v>
      </c>
      <c r="H41" s="227"/>
      <c r="I41" s="231"/>
      <c r="J41" s="227"/>
      <c r="K41" s="231"/>
      <c r="L41" s="244">
        <v>12</v>
      </c>
      <c r="M41" s="227"/>
      <c r="N41" s="231"/>
      <c r="O41" s="227"/>
      <c r="P41" s="231"/>
      <c r="Q41" s="231"/>
      <c r="R41" s="231">
        <v>0.0876</v>
      </c>
      <c r="S41" s="231">
        <v>0.1703</v>
      </c>
      <c r="T41" s="60"/>
    </row>
    <row r="42" spans="1:20" ht="15" customHeight="1">
      <c r="A42" s="3"/>
      <c r="B42" s="3"/>
      <c r="C42" s="60"/>
      <c r="D42" s="233" t="s">
        <v>2320</v>
      </c>
      <c r="E42" s="245">
        <v>100.46</v>
      </c>
      <c r="F42" s="227">
        <v>3</v>
      </c>
      <c r="G42" s="231">
        <v>2.1</v>
      </c>
      <c r="H42" s="227"/>
      <c r="I42" s="231"/>
      <c r="J42" s="227"/>
      <c r="K42" s="231"/>
      <c r="L42" s="244">
        <v>1</v>
      </c>
      <c r="M42" s="227"/>
      <c r="N42" s="231"/>
      <c r="O42" s="227"/>
      <c r="P42" s="231"/>
      <c r="Q42" s="231"/>
      <c r="R42" s="231">
        <v>0.021</v>
      </c>
      <c r="S42" s="231">
        <v>0.033</v>
      </c>
      <c r="T42" s="60"/>
    </row>
    <row r="43" spans="1:20" ht="15" customHeight="1">
      <c r="A43" s="3"/>
      <c r="B43" s="3"/>
      <c r="C43" s="60"/>
      <c r="D43" s="233" t="s">
        <v>2321</v>
      </c>
      <c r="E43" s="245">
        <v>866.9</v>
      </c>
      <c r="F43" s="227">
        <v>36</v>
      </c>
      <c r="G43" s="231">
        <v>23.5</v>
      </c>
      <c r="H43" s="227"/>
      <c r="I43" s="231"/>
      <c r="J43" s="227"/>
      <c r="K43" s="231"/>
      <c r="L43" s="244">
        <v>5</v>
      </c>
      <c r="M43" s="517">
        <v>4</v>
      </c>
      <c r="N43" s="231">
        <v>300</v>
      </c>
      <c r="O43" s="227"/>
      <c r="P43" s="231"/>
      <c r="Q43" s="231"/>
      <c r="R43" s="231">
        <v>0.062</v>
      </c>
      <c r="S43" s="231">
        <v>0.058</v>
      </c>
      <c r="T43" s="60"/>
    </row>
    <row r="44" spans="1:20" ht="15" customHeight="1">
      <c r="A44" s="3"/>
      <c r="B44" s="3"/>
      <c r="C44" s="60"/>
      <c r="D44" s="233" t="s">
        <v>2322</v>
      </c>
      <c r="E44" s="245">
        <v>216.22</v>
      </c>
      <c r="F44" s="227">
        <v>12</v>
      </c>
      <c r="G44" s="231">
        <v>5.1</v>
      </c>
      <c r="H44" s="227"/>
      <c r="I44" s="231"/>
      <c r="J44" s="227"/>
      <c r="K44" s="231"/>
      <c r="L44" s="244">
        <v>6</v>
      </c>
      <c r="M44" s="517"/>
      <c r="N44" s="231">
        <v>0</v>
      </c>
      <c r="O44" s="227"/>
      <c r="P44" s="231"/>
      <c r="Q44" s="231"/>
      <c r="R44" s="231">
        <v>0.0285</v>
      </c>
      <c r="S44" s="231">
        <v>0.088</v>
      </c>
      <c r="T44" s="60"/>
    </row>
    <row r="45" spans="1:20" ht="15" customHeight="1">
      <c r="A45" s="3"/>
      <c r="B45" s="3"/>
      <c r="C45" s="60"/>
      <c r="D45" s="233" t="s">
        <v>2323</v>
      </c>
      <c r="E45" s="245">
        <v>951.19</v>
      </c>
      <c r="F45" s="227">
        <v>13</v>
      </c>
      <c r="G45" s="231">
        <v>9.6</v>
      </c>
      <c r="H45" s="227"/>
      <c r="I45" s="231"/>
      <c r="J45" s="227"/>
      <c r="K45" s="231"/>
      <c r="L45" s="244">
        <v>13</v>
      </c>
      <c r="M45" s="517">
        <v>3</v>
      </c>
      <c r="N45" s="231">
        <v>225</v>
      </c>
      <c r="O45" s="227"/>
      <c r="P45" s="231"/>
      <c r="Q45" s="231"/>
      <c r="R45" s="231">
        <v>0.1378</v>
      </c>
      <c r="S45" s="231">
        <v>0.1472</v>
      </c>
      <c r="T45" s="60"/>
    </row>
    <row r="46" spans="1:20" ht="15" customHeight="1">
      <c r="A46" s="3"/>
      <c r="B46" s="3"/>
      <c r="C46" s="60"/>
      <c r="D46" s="233" t="s">
        <v>2324</v>
      </c>
      <c r="E46" s="245">
        <v>1808.44</v>
      </c>
      <c r="F46" s="227">
        <v>40</v>
      </c>
      <c r="G46" s="231">
        <v>32.68</v>
      </c>
      <c r="H46" s="227"/>
      <c r="I46" s="231"/>
      <c r="J46" s="227"/>
      <c r="K46" s="231"/>
      <c r="L46" s="244">
        <v>29</v>
      </c>
      <c r="M46" s="517"/>
      <c r="N46" s="231">
        <v>0</v>
      </c>
      <c r="O46" s="227"/>
      <c r="P46" s="231"/>
      <c r="Q46" s="231"/>
      <c r="R46" s="231">
        <v>0.2453</v>
      </c>
      <c r="S46" s="231">
        <v>0.1608</v>
      </c>
      <c r="T46" s="60"/>
    </row>
    <row r="47" spans="1:20" ht="15" customHeight="1">
      <c r="A47" s="3"/>
      <c r="B47" s="3"/>
      <c r="C47" s="60"/>
      <c r="D47" s="233" t="s">
        <v>2325</v>
      </c>
      <c r="E47" s="245">
        <v>1437.33</v>
      </c>
      <c r="F47" s="227">
        <v>19</v>
      </c>
      <c r="G47" s="231">
        <v>10.9</v>
      </c>
      <c r="H47" s="227"/>
      <c r="I47" s="231"/>
      <c r="J47" s="227"/>
      <c r="K47" s="231"/>
      <c r="L47" s="244">
        <v>27</v>
      </c>
      <c r="M47" s="517">
        <v>3</v>
      </c>
      <c r="N47" s="231">
        <v>225</v>
      </c>
      <c r="O47" s="227"/>
      <c r="P47" s="231"/>
      <c r="Q47" s="231"/>
      <c r="R47" s="231">
        <v>0.2811</v>
      </c>
      <c r="S47" s="231">
        <v>0.1722</v>
      </c>
      <c r="T47" s="60"/>
    </row>
    <row r="48" spans="1:20" ht="15" customHeight="1">
      <c r="A48" s="3"/>
      <c r="B48" s="3"/>
      <c r="C48" s="60"/>
      <c r="D48" s="233" t="s">
        <v>2326</v>
      </c>
      <c r="E48" s="245">
        <v>1138.84</v>
      </c>
      <c r="F48" s="227">
        <v>46</v>
      </c>
      <c r="G48" s="231">
        <v>28.1</v>
      </c>
      <c r="H48" s="227"/>
      <c r="I48" s="231"/>
      <c r="J48" s="227"/>
      <c r="K48" s="231"/>
      <c r="L48" s="244">
        <v>37</v>
      </c>
      <c r="M48" s="517"/>
      <c r="N48" s="231">
        <v>0</v>
      </c>
      <c r="O48" s="227"/>
      <c r="P48" s="231"/>
      <c r="Q48" s="231"/>
      <c r="R48" s="231">
        <v>0.185</v>
      </c>
      <c r="S48" s="231">
        <v>0.145</v>
      </c>
      <c r="T48" s="60"/>
    </row>
    <row r="49" spans="1:20" ht="15" customHeight="1">
      <c r="A49" s="3"/>
      <c r="B49" s="3"/>
      <c r="C49" s="60"/>
      <c r="D49" s="233" t="s">
        <v>2001</v>
      </c>
      <c r="E49" s="245">
        <v>1384.46</v>
      </c>
      <c r="F49" s="227">
        <v>18</v>
      </c>
      <c r="G49" s="231">
        <v>10.7</v>
      </c>
      <c r="H49" s="227"/>
      <c r="I49" s="231"/>
      <c r="J49" s="227"/>
      <c r="K49" s="231"/>
      <c r="L49" s="244">
        <v>23</v>
      </c>
      <c r="M49" s="517">
        <v>3</v>
      </c>
      <c r="N49" s="231">
        <v>225</v>
      </c>
      <c r="O49" s="227"/>
      <c r="P49" s="231"/>
      <c r="Q49" s="231"/>
      <c r="R49" s="231">
        <v>0.147</v>
      </c>
      <c r="S49" s="231">
        <v>0.089</v>
      </c>
      <c r="T49" s="60"/>
    </row>
    <row r="50" spans="1:20" ht="15" customHeight="1">
      <c r="A50" s="3"/>
      <c r="B50" s="3"/>
      <c r="C50" s="60"/>
      <c r="D50" s="233" t="s">
        <v>2327</v>
      </c>
      <c r="E50" s="245">
        <v>1186.37</v>
      </c>
      <c r="F50" s="227">
        <v>26</v>
      </c>
      <c r="G50" s="231">
        <v>17.9</v>
      </c>
      <c r="H50" s="227"/>
      <c r="I50" s="231"/>
      <c r="J50" s="227"/>
      <c r="K50" s="231"/>
      <c r="L50" s="244">
        <v>10</v>
      </c>
      <c r="M50" s="517">
        <v>5</v>
      </c>
      <c r="N50" s="231">
        <v>375</v>
      </c>
      <c r="O50" s="227"/>
      <c r="P50" s="231"/>
      <c r="Q50" s="231"/>
      <c r="R50" s="231">
        <v>0.0721</v>
      </c>
      <c r="S50" s="231">
        <v>0.0742</v>
      </c>
      <c r="T50" s="60"/>
    </row>
    <row r="51" spans="1:20" ht="15" customHeight="1">
      <c r="A51" s="3"/>
      <c r="B51" s="3"/>
      <c r="C51" s="60"/>
      <c r="D51" s="233" t="s">
        <v>2328</v>
      </c>
      <c r="E51" s="245">
        <v>692.13</v>
      </c>
      <c r="F51" s="227">
        <v>13</v>
      </c>
      <c r="G51" s="231">
        <v>6.7</v>
      </c>
      <c r="H51" s="227"/>
      <c r="I51" s="231"/>
      <c r="J51" s="227"/>
      <c r="K51" s="231"/>
      <c r="L51" s="244">
        <v>3</v>
      </c>
      <c r="M51" s="517">
        <v>4</v>
      </c>
      <c r="N51" s="231">
        <v>300</v>
      </c>
      <c r="O51" s="227"/>
      <c r="P51" s="231"/>
      <c r="Q51" s="231"/>
      <c r="R51" s="231">
        <v>0.05</v>
      </c>
      <c r="S51" s="231">
        <v>0.055</v>
      </c>
      <c r="T51" s="60"/>
    </row>
    <row r="52" spans="1:20" ht="15" customHeight="1">
      <c r="A52" s="3"/>
      <c r="B52" s="3"/>
      <c r="C52" s="60"/>
      <c r="D52" s="231" t="s">
        <v>2304</v>
      </c>
      <c r="E52" s="231">
        <v>80</v>
      </c>
      <c r="F52" s="227">
        <v>17</v>
      </c>
      <c r="G52" s="231">
        <v>5.6</v>
      </c>
      <c r="H52" s="227"/>
      <c r="I52" s="231"/>
      <c r="J52" s="227"/>
      <c r="K52" s="231"/>
      <c r="L52" s="227"/>
      <c r="M52" s="227"/>
      <c r="N52" s="231"/>
      <c r="O52" s="227"/>
      <c r="P52" s="231"/>
      <c r="Q52" s="231"/>
      <c r="R52" s="231">
        <v>0.05</v>
      </c>
      <c r="S52" s="231">
        <v>0.06</v>
      </c>
      <c r="T52" s="60"/>
    </row>
    <row r="53" spans="1:20" ht="15" customHeight="1">
      <c r="A53" s="3"/>
      <c r="B53" s="3"/>
      <c r="C53" s="60"/>
      <c r="D53" s="231" t="s">
        <v>2305</v>
      </c>
      <c r="E53" s="231">
        <v>122</v>
      </c>
      <c r="F53" s="227">
        <v>3</v>
      </c>
      <c r="G53" s="231">
        <v>11</v>
      </c>
      <c r="H53" s="227"/>
      <c r="I53" s="231"/>
      <c r="J53" s="227"/>
      <c r="K53" s="231"/>
      <c r="L53" s="227"/>
      <c r="M53" s="227"/>
      <c r="N53" s="231"/>
      <c r="O53" s="227"/>
      <c r="P53" s="231"/>
      <c r="Q53" s="231"/>
      <c r="R53" s="231">
        <v>0.03</v>
      </c>
      <c r="S53" s="231">
        <v>0.06</v>
      </c>
      <c r="T53" s="60"/>
    </row>
    <row r="54" spans="1:20" s="97" customFormat="1" ht="15" customHeight="1">
      <c r="A54" s="107"/>
      <c r="B54" s="107"/>
      <c r="C54" s="98" t="s">
        <v>1580</v>
      </c>
      <c r="D54" s="243"/>
      <c r="E54" s="243">
        <f>SUM(E55:E67)</f>
        <v>3108.2000000000003</v>
      </c>
      <c r="F54" s="490">
        <f aca="true" t="shared" si="4" ref="F54:S54">SUM(F55:F67)</f>
        <v>44</v>
      </c>
      <c r="G54" s="243">
        <f t="shared" si="4"/>
        <v>25.4</v>
      </c>
      <c r="H54" s="490">
        <f t="shared" si="4"/>
        <v>60</v>
      </c>
      <c r="I54" s="243">
        <f t="shared" si="4"/>
        <v>58.00000000000001</v>
      </c>
      <c r="J54" s="490">
        <f t="shared" si="4"/>
        <v>2000</v>
      </c>
      <c r="K54" s="243">
        <f t="shared" si="4"/>
        <v>40000</v>
      </c>
      <c r="L54" s="490">
        <f t="shared" si="4"/>
        <v>53</v>
      </c>
      <c r="M54" s="490">
        <f t="shared" si="4"/>
        <v>24</v>
      </c>
      <c r="N54" s="243">
        <f t="shared" si="4"/>
        <v>512.5</v>
      </c>
      <c r="O54" s="490">
        <f t="shared" si="4"/>
        <v>48</v>
      </c>
      <c r="P54" s="243">
        <f t="shared" si="4"/>
        <v>3890</v>
      </c>
      <c r="Q54" s="243">
        <f t="shared" si="4"/>
        <v>0</v>
      </c>
      <c r="R54" s="243">
        <f t="shared" si="4"/>
        <v>0.9324600000000001</v>
      </c>
      <c r="S54" s="243">
        <f t="shared" si="4"/>
        <v>0.4126</v>
      </c>
      <c r="T54" s="98"/>
    </row>
    <row r="55" spans="1:20" ht="15" customHeight="1">
      <c r="A55" s="3"/>
      <c r="B55" s="3"/>
      <c r="C55" s="4"/>
      <c r="D55" s="231" t="s">
        <v>1577</v>
      </c>
      <c r="E55" s="205">
        <f>G55*15+I55*1.4+J55*0.42+L55*30+M55*5+O55*2</f>
        <v>264.7</v>
      </c>
      <c r="F55" s="228">
        <v>3</v>
      </c>
      <c r="G55" s="205">
        <v>3.6</v>
      </c>
      <c r="H55" s="228">
        <v>5</v>
      </c>
      <c r="I55" s="205">
        <f>5500/1000</f>
        <v>5.5</v>
      </c>
      <c r="J55" s="228">
        <v>150</v>
      </c>
      <c r="K55" s="205">
        <f>J55*20</f>
        <v>3000</v>
      </c>
      <c r="L55" s="228">
        <v>4</v>
      </c>
      <c r="M55" s="228">
        <v>2</v>
      </c>
      <c r="N55" s="205">
        <v>37</v>
      </c>
      <c r="O55" s="228">
        <v>5</v>
      </c>
      <c r="P55" s="205">
        <v>410</v>
      </c>
      <c r="Q55" s="231"/>
      <c r="R55" s="246">
        <v>0.07941000000000001</v>
      </c>
      <c r="S55" s="231">
        <v>0.042</v>
      </c>
      <c r="T55" s="60"/>
    </row>
    <row r="56" spans="1:20" ht="15" customHeight="1">
      <c r="A56" s="3"/>
      <c r="B56" s="3"/>
      <c r="C56" s="60"/>
      <c r="D56" s="231" t="s">
        <v>1578</v>
      </c>
      <c r="E56" s="205">
        <f aca="true" t="shared" si="5" ref="E56:E67">G56*15+I56*1.4+J56*0.42+L56*30+M56*5+O56*2</f>
        <v>290.18</v>
      </c>
      <c r="F56" s="227">
        <v>5</v>
      </c>
      <c r="G56" s="231">
        <v>4</v>
      </c>
      <c r="H56" s="227">
        <v>4</v>
      </c>
      <c r="I56" s="231">
        <f>4700/1000</f>
        <v>4.7</v>
      </c>
      <c r="J56" s="227">
        <v>130</v>
      </c>
      <c r="K56" s="205">
        <f aca="true" t="shared" si="6" ref="K56:K67">J56*20</f>
        <v>2600</v>
      </c>
      <c r="L56" s="227">
        <v>5</v>
      </c>
      <c r="M56" s="227">
        <v>3</v>
      </c>
      <c r="N56" s="231">
        <v>70</v>
      </c>
      <c r="O56" s="227">
        <v>2</v>
      </c>
      <c r="P56" s="231">
        <v>160</v>
      </c>
      <c r="Q56" s="231"/>
      <c r="R56" s="246">
        <v>0.08705399999999999</v>
      </c>
      <c r="S56" s="231">
        <v>0.031</v>
      </c>
      <c r="T56" s="60"/>
    </row>
    <row r="57" spans="1:20" ht="15" customHeight="1">
      <c r="A57" s="3"/>
      <c r="B57" s="3"/>
      <c r="C57" s="60"/>
      <c r="D57" s="231" t="s">
        <v>1581</v>
      </c>
      <c r="E57" s="205">
        <f t="shared" si="5"/>
        <v>201.2</v>
      </c>
      <c r="F57" s="227">
        <v>4</v>
      </c>
      <c r="G57" s="231">
        <v>2.6</v>
      </c>
      <c r="H57" s="227">
        <v>2</v>
      </c>
      <c r="I57" s="231">
        <v>2</v>
      </c>
      <c r="J57" s="227">
        <v>120</v>
      </c>
      <c r="K57" s="205">
        <f t="shared" si="6"/>
        <v>2400</v>
      </c>
      <c r="L57" s="227">
        <v>3</v>
      </c>
      <c r="M57" s="227">
        <v>3</v>
      </c>
      <c r="N57" s="231">
        <v>68</v>
      </c>
      <c r="O57" s="227">
        <v>2</v>
      </c>
      <c r="P57" s="231">
        <v>170</v>
      </c>
      <c r="Q57" s="231"/>
      <c r="R57" s="246">
        <v>0.060360000000000004</v>
      </c>
      <c r="S57" s="231">
        <v>0.0356</v>
      </c>
      <c r="T57" s="60"/>
    </row>
    <row r="58" spans="1:20" ht="15" customHeight="1">
      <c r="A58" s="3"/>
      <c r="B58" s="3"/>
      <c r="C58" s="60"/>
      <c r="D58" s="231" t="s">
        <v>1576</v>
      </c>
      <c r="E58" s="205">
        <f t="shared" si="5"/>
        <v>200.38</v>
      </c>
      <c r="F58" s="227">
        <v>4</v>
      </c>
      <c r="G58" s="231">
        <v>2.1</v>
      </c>
      <c r="H58" s="227">
        <v>8</v>
      </c>
      <c r="I58" s="231">
        <v>8.2</v>
      </c>
      <c r="J58" s="227">
        <v>120</v>
      </c>
      <c r="K58" s="205">
        <f t="shared" si="6"/>
        <v>2400</v>
      </c>
      <c r="L58" s="227">
        <v>3</v>
      </c>
      <c r="M58" s="227">
        <v>1</v>
      </c>
      <c r="N58" s="231">
        <v>18</v>
      </c>
      <c r="O58" s="227">
        <v>6</v>
      </c>
      <c r="P58" s="231">
        <v>480</v>
      </c>
      <c r="Q58" s="231"/>
      <c r="R58" s="246">
        <v>0.060114</v>
      </c>
      <c r="S58" s="231">
        <v>0.048</v>
      </c>
      <c r="T58" s="60"/>
    </row>
    <row r="59" spans="1:20" ht="15" customHeight="1">
      <c r="A59" s="3"/>
      <c r="B59" s="3"/>
      <c r="C59" s="60"/>
      <c r="D59" s="231" t="s">
        <v>1582</v>
      </c>
      <c r="E59" s="205">
        <f t="shared" si="5"/>
        <v>311.62</v>
      </c>
      <c r="F59" s="227">
        <v>4</v>
      </c>
      <c r="G59" s="231">
        <v>2</v>
      </c>
      <c r="H59" s="227">
        <v>6</v>
      </c>
      <c r="I59" s="231">
        <v>6.3</v>
      </c>
      <c r="J59" s="227">
        <v>190</v>
      </c>
      <c r="K59" s="205">
        <f t="shared" si="6"/>
        <v>3800</v>
      </c>
      <c r="L59" s="227">
        <v>6</v>
      </c>
      <c r="M59" s="227">
        <v>1</v>
      </c>
      <c r="N59" s="231">
        <v>18</v>
      </c>
      <c r="O59" s="227">
        <v>4</v>
      </c>
      <c r="P59" s="231">
        <v>320</v>
      </c>
      <c r="Q59" s="231"/>
      <c r="R59" s="246">
        <v>0.093486</v>
      </c>
      <c r="S59" s="231">
        <v>0.028</v>
      </c>
      <c r="T59" s="60"/>
    </row>
    <row r="60" spans="1:20" ht="15" customHeight="1">
      <c r="A60" s="3"/>
      <c r="B60" s="3"/>
      <c r="C60" s="60"/>
      <c r="D60" s="231" t="s">
        <v>1583</v>
      </c>
      <c r="E60" s="205">
        <f t="shared" si="5"/>
        <v>185.48000000000002</v>
      </c>
      <c r="F60" s="227">
        <v>3</v>
      </c>
      <c r="G60" s="231">
        <v>1.6</v>
      </c>
      <c r="H60" s="227">
        <v>2</v>
      </c>
      <c r="I60" s="231">
        <v>3.2</v>
      </c>
      <c r="J60" s="227">
        <v>200</v>
      </c>
      <c r="K60" s="205">
        <f t="shared" si="6"/>
        <v>4000</v>
      </c>
      <c r="L60" s="227">
        <v>2</v>
      </c>
      <c r="M60" s="227">
        <v>1</v>
      </c>
      <c r="N60" s="231">
        <v>18</v>
      </c>
      <c r="O60" s="227">
        <v>4</v>
      </c>
      <c r="P60" s="231">
        <v>330</v>
      </c>
      <c r="Q60" s="231"/>
      <c r="R60" s="246">
        <v>0.055644000000000006</v>
      </c>
      <c r="S60" s="231">
        <v>0.03</v>
      </c>
      <c r="T60" s="60"/>
    </row>
    <row r="61" spans="1:20" ht="15" customHeight="1">
      <c r="A61" s="3"/>
      <c r="B61" s="3"/>
      <c r="C61" s="60"/>
      <c r="D61" s="231" t="s">
        <v>1584</v>
      </c>
      <c r="E61" s="205">
        <f t="shared" si="5"/>
        <v>254.94</v>
      </c>
      <c r="F61" s="227">
        <v>3</v>
      </c>
      <c r="G61" s="231">
        <v>1.5</v>
      </c>
      <c r="H61" s="227">
        <v>5</v>
      </c>
      <c r="I61" s="231">
        <v>4.6</v>
      </c>
      <c r="J61" s="227">
        <v>200</v>
      </c>
      <c r="K61" s="205">
        <f t="shared" si="6"/>
        <v>4000</v>
      </c>
      <c r="L61" s="227">
        <v>4</v>
      </c>
      <c r="M61" s="227">
        <v>2</v>
      </c>
      <c r="N61" s="231">
        <v>40</v>
      </c>
      <c r="O61" s="227">
        <v>6</v>
      </c>
      <c r="P61" s="231">
        <v>490</v>
      </c>
      <c r="Q61" s="231"/>
      <c r="R61" s="246">
        <v>0.07648200000000001</v>
      </c>
      <c r="S61" s="231">
        <v>0.052</v>
      </c>
      <c r="T61" s="60"/>
    </row>
    <row r="62" spans="1:20" ht="15" customHeight="1">
      <c r="A62" s="3"/>
      <c r="B62" s="3"/>
      <c r="C62" s="60"/>
      <c r="D62" s="231" t="s">
        <v>1585</v>
      </c>
      <c r="E62" s="205">
        <f t="shared" si="5"/>
        <v>218.34</v>
      </c>
      <c r="F62" s="227">
        <v>2</v>
      </c>
      <c r="G62" s="231">
        <v>2.1</v>
      </c>
      <c r="H62" s="227">
        <v>6</v>
      </c>
      <c r="I62" s="231">
        <v>2.6</v>
      </c>
      <c r="J62" s="227">
        <v>260</v>
      </c>
      <c r="K62" s="205">
        <f t="shared" si="6"/>
        <v>5200</v>
      </c>
      <c r="L62" s="227">
        <v>2</v>
      </c>
      <c r="M62" s="227">
        <v>2</v>
      </c>
      <c r="N62" s="231">
        <v>50</v>
      </c>
      <c r="O62" s="227">
        <v>2</v>
      </c>
      <c r="P62" s="231">
        <v>170</v>
      </c>
      <c r="Q62" s="231"/>
      <c r="R62" s="246">
        <v>0.065502</v>
      </c>
      <c r="S62" s="231">
        <v>0.0165</v>
      </c>
      <c r="T62" s="60"/>
    </row>
    <row r="63" spans="1:20" ht="15" customHeight="1">
      <c r="A63" s="3"/>
      <c r="B63" s="3"/>
      <c r="C63" s="60"/>
      <c r="D63" s="231" t="s">
        <v>1586</v>
      </c>
      <c r="E63" s="205">
        <f t="shared" si="5"/>
        <v>320.9</v>
      </c>
      <c r="F63" s="227">
        <v>6</v>
      </c>
      <c r="G63" s="231">
        <v>1.8</v>
      </c>
      <c r="H63" s="227">
        <v>6</v>
      </c>
      <c r="I63" s="231">
        <v>6.5</v>
      </c>
      <c r="J63" s="227">
        <v>40</v>
      </c>
      <c r="K63" s="205">
        <f t="shared" si="6"/>
        <v>800</v>
      </c>
      <c r="L63" s="227">
        <v>8</v>
      </c>
      <c r="M63" s="227">
        <v>4</v>
      </c>
      <c r="N63" s="231">
        <v>88</v>
      </c>
      <c r="O63" s="227">
        <v>4</v>
      </c>
      <c r="P63" s="231">
        <v>320</v>
      </c>
      <c r="Q63" s="231"/>
      <c r="R63" s="246">
        <v>0.09627000000000001</v>
      </c>
      <c r="S63" s="231">
        <v>0.0325</v>
      </c>
      <c r="T63" s="60"/>
    </row>
    <row r="64" spans="1:20" ht="15" customHeight="1">
      <c r="A64" s="3"/>
      <c r="B64" s="3"/>
      <c r="C64" s="60"/>
      <c r="D64" s="231" t="s">
        <v>1579</v>
      </c>
      <c r="E64" s="205">
        <f t="shared" si="5"/>
        <v>192.39999999999998</v>
      </c>
      <c r="F64" s="227">
        <v>3</v>
      </c>
      <c r="G64" s="231">
        <v>1.2</v>
      </c>
      <c r="H64" s="227">
        <v>3</v>
      </c>
      <c r="I64" s="231">
        <v>3</v>
      </c>
      <c r="J64" s="227">
        <v>110</v>
      </c>
      <c r="K64" s="205">
        <f t="shared" si="6"/>
        <v>2200</v>
      </c>
      <c r="L64" s="227">
        <v>4</v>
      </c>
      <c r="M64" s="227">
        <v>0</v>
      </c>
      <c r="N64" s="231"/>
      <c r="O64" s="227">
        <v>2</v>
      </c>
      <c r="P64" s="231">
        <v>160</v>
      </c>
      <c r="Q64" s="231"/>
      <c r="R64" s="246">
        <v>0.05772000000000001</v>
      </c>
      <c r="S64" s="231">
        <v>0.019</v>
      </c>
      <c r="T64" s="60"/>
    </row>
    <row r="65" spans="1:20" ht="15" customHeight="1">
      <c r="A65" s="3"/>
      <c r="B65" s="3"/>
      <c r="C65" s="60"/>
      <c r="D65" s="231" t="s">
        <v>1587</v>
      </c>
      <c r="E65" s="205">
        <f t="shared" si="5"/>
        <v>269.84000000000003</v>
      </c>
      <c r="F65" s="227">
        <v>2</v>
      </c>
      <c r="G65" s="231">
        <v>0.8</v>
      </c>
      <c r="H65" s="227">
        <v>5</v>
      </c>
      <c r="I65" s="231">
        <v>5.6</v>
      </c>
      <c r="J65" s="227">
        <v>200</v>
      </c>
      <c r="K65" s="205">
        <f t="shared" si="6"/>
        <v>4000</v>
      </c>
      <c r="L65" s="227">
        <v>5</v>
      </c>
      <c r="M65" s="227">
        <v>2</v>
      </c>
      <c r="N65" s="231">
        <v>25.5</v>
      </c>
      <c r="O65" s="227">
        <v>3</v>
      </c>
      <c r="P65" s="231">
        <v>240</v>
      </c>
      <c r="Q65" s="231"/>
      <c r="R65" s="246">
        <v>0.080952</v>
      </c>
      <c r="S65" s="231">
        <v>0.021</v>
      </c>
      <c r="T65" s="60"/>
    </row>
    <row r="66" spans="1:20" ht="15" customHeight="1">
      <c r="A66" s="3"/>
      <c r="B66" s="3"/>
      <c r="C66" s="60"/>
      <c r="D66" s="231" t="s">
        <v>1588</v>
      </c>
      <c r="E66" s="205">
        <f t="shared" si="5"/>
        <v>156.74</v>
      </c>
      <c r="F66" s="227">
        <v>2</v>
      </c>
      <c r="G66" s="231">
        <v>0.9</v>
      </c>
      <c r="H66" s="227">
        <v>2</v>
      </c>
      <c r="I66" s="231">
        <v>1.6</v>
      </c>
      <c r="J66" s="227">
        <v>100</v>
      </c>
      <c r="K66" s="205">
        <f t="shared" si="6"/>
        <v>2000</v>
      </c>
      <c r="L66" s="227">
        <v>3</v>
      </c>
      <c r="M66" s="227">
        <v>1</v>
      </c>
      <c r="N66" s="231">
        <v>30</v>
      </c>
      <c r="O66" s="227">
        <v>2</v>
      </c>
      <c r="P66" s="231">
        <v>160</v>
      </c>
      <c r="Q66" s="231"/>
      <c r="R66" s="246">
        <v>0.047022</v>
      </c>
      <c r="S66" s="231">
        <v>0.016</v>
      </c>
      <c r="T66" s="60"/>
    </row>
    <row r="67" spans="1:22" ht="15" customHeight="1">
      <c r="A67" s="3"/>
      <c r="B67" s="3"/>
      <c r="C67" s="60"/>
      <c r="D67" s="231" t="s">
        <v>1589</v>
      </c>
      <c r="E67" s="205">
        <f t="shared" si="5"/>
        <v>241.48</v>
      </c>
      <c r="F67" s="227">
        <v>3</v>
      </c>
      <c r="G67" s="231">
        <v>1.2</v>
      </c>
      <c r="H67" s="227">
        <v>6</v>
      </c>
      <c r="I67" s="231">
        <v>4.2</v>
      </c>
      <c r="J67" s="227">
        <v>180</v>
      </c>
      <c r="K67" s="205">
        <f t="shared" si="6"/>
        <v>3600</v>
      </c>
      <c r="L67" s="227">
        <v>4</v>
      </c>
      <c r="M67" s="227">
        <v>2</v>
      </c>
      <c r="N67" s="231">
        <v>50</v>
      </c>
      <c r="O67" s="227">
        <v>6</v>
      </c>
      <c r="P67" s="231">
        <v>480</v>
      </c>
      <c r="Q67" s="231"/>
      <c r="R67" s="246">
        <v>0.07244400000000001</v>
      </c>
      <c r="S67" s="231">
        <v>0.041</v>
      </c>
      <c r="T67" s="60"/>
      <c r="U67" s="47"/>
      <c r="V67" s="47"/>
    </row>
    <row r="68" spans="1:22" s="97" customFormat="1" ht="15" customHeight="1">
      <c r="A68" s="107"/>
      <c r="B68" s="107"/>
      <c r="C68" s="98" t="s">
        <v>1622</v>
      </c>
      <c r="D68" s="243"/>
      <c r="E68" s="239">
        <f>SUM(E69:E75)</f>
        <v>2081.03</v>
      </c>
      <c r="F68" s="253">
        <f aca="true" t="shared" si="7" ref="F68:S68">SUM(F69:F75)</f>
        <v>7</v>
      </c>
      <c r="G68" s="247">
        <f t="shared" si="7"/>
        <v>16.345</v>
      </c>
      <c r="H68" s="491">
        <f t="shared" si="7"/>
        <v>0</v>
      </c>
      <c r="I68" s="247">
        <f t="shared" si="7"/>
        <v>0</v>
      </c>
      <c r="J68" s="491">
        <f t="shared" si="7"/>
        <v>0</v>
      </c>
      <c r="K68" s="247">
        <f t="shared" si="7"/>
        <v>0</v>
      </c>
      <c r="L68" s="491">
        <f t="shared" si="7"/>
        <v>44</v>
      </c>
      <c r="M68" s="491">
        <f t="shared" si="7"/>
        <v>0</v>
      </c>
      <c r="N68" s="247">
        <f t="shared" si="7"/>
        <v>0</v>
      </c>
      <c r="O68" s="491">
        <f t="shared" si="7"/>
        <v>0</v>
      </c>
      <c r="P68" s="247">
        <f t="shared" si="7"/>
        <v>0</v>
      </c>
      <c r="Q68" s="247">
        <f t="shared" si="7"/>
        <v>0</v>
      </c>
      <c r="R68" s="247">
        <f t="shared" si="7"/>
        <v>0.1513</v>
      </c>
      <c r="S68" s="247">
        <f t="shared" si="7"/>
        <v>0.9003</v>
      </c>
      <c r="T68" s="98"/>
      <c r="U68" s="229"/>
      <c r="V68" s="229"/>
    </row>
    <row r="69" spans="1:22" ht="15" customHeight="1">
      <c r="A69" s="3"/>
      <c r="B69" s="3"/>
      <c r="C69" s="4"/>
      <c r="D69" s="17" t="s">
        <v>2329</v>
      </c>
      <c r="E69" s="17">
        <v>318.6</v>
      </c>
      <c r="F69" s="489"/>
      <c r="G69" s="17"/>
      <c r="H69" s="489"/>
      <c r="I69" s="248"/>
      <c r="J69" s="489"/>
      <c r="K69" s="17"/>
      <c r="L69" s="489">
        <v>8</v>
      </c>
      <c r="M69" s="489"/>
      <c r="N69" s="17"/>
      <c r="O69" s="489"/>
      <c r="P69" s="17"/>
      <c r="Q69" s="17"/>
      <c r="R69" s="231">
        <v>0.0268</v>
      </c>
      <c r="S69" s="231">
        <v>0.1955</v>
      </c>
      <c r="T69" s="67"/>
      <c r="U69" s="254"/>
      <c r="V69" s="254"/>
    </row>
    <row r="70" spans="1:22" ht="15" customHeight="1">
      <c r="A70" s="3"/>
      <c r="B70" s="3"/>
      <c r="C70" s="60"/>
      <c r="D70" s="17" t="s">
        <v>2330</v>
      </c>
      <c r="E70" s="17">
        <v>197.9</v>
      </c>
      <c r="F70" s="489"/>
      <c r="G70" s="17"/>
      <c r="H70" s="489"/>
      <c r="I70" s="248"/>
      <c r="J70" s="489"/>
      <c r="K70" s="17"/>
      <c r="L70" s="489">
        <v>5</v>
      </c>
      <c r="M70" s="489"/>
      <c r="N70" s="17"/>
      <c r="O70" s="489"/>
      <c r="P70" s="17"/>
      <c r="Q70" s="17"/>
      <c r="R70" s="231">
        <v>0.0136</v>
      </c>
      <c r="S70" s="231">
        <v>0.14</v>
      </c>
      <c r="T70" s="67"/>
      <c r="U70" s="254"/>
      <c r="V70" s="254"/>
    </row>
    <row r="71" spans="1:22" ht="15" customHeight="1">
      <c r="A71" s="3"/>
      <c r="B71" s="3"/>
      <c r="C71" s="60"/>
      <c r="D71" s="17" t="s">
        <v>2331</v>
      </c>
      <c r="E71" s="17">
        <v>143.69</v>
      </c>
      <c r="F71" s="489">
        <v>1</v>
      </c>
      <c r="G71" s="17">
        <v>2.3</v>
      </c>
      <c r="H71" s="489"/>
      <c r="I71" s="248"/>
      <c r="J71" s="489"/>
      <c r="K71" s="17"/>
      <c r="L71" s="489">
        <v>3</v>
      </c>
      <c r="M71" s="489"/>
      <c r="N71" s="17"/>
      <c r="O71" s="489"/>
      <c r="P71" s="17"/>
      <c r="Q71" s="17"/>
      <c r="R71" s="231">
        <v>0.0083</v>
      </c>
      <c r="S71" s="231">
        <v>0.0759</v>
      </c>
      <c r="T71" s="67"/>
      <c r="U71" s="254"/>
      <c r="V71" s="254"/>
    </row>
    <row r="72" spans="1:22" ht="15" customHeight="1">
      <c r="A72" s="3"/>
      <c r="B72" s="3"/>
      <c r="C72" s="60"/>
      <c r="D72" s="17" t="s">
        <v>2332</v>
      </c>
      <c r="E72" s="17">
        <v>413.49</v>
      </c>
      <c r="F72" s="489">
        <v>1</v>
      </c>
      <c r="G72" s="17">
        <v>2.8</v>
      </c>
      <c r="H72" s="489"/>
      <c r="I72" s="248"/>
      <c r="J72" s="489"/>
      <c r="K72" s="17"/>
      <c r="L72" s="489">
        <v>9</v>
      </c>
      <c r="M72" s="489"/>
      <c r="N72" s="17"/>
      <c r="O72" s="489"/>
      <c r="P72" s="17"/>
      <c r="Q72" s="17"/>
      <c r="R72" s="231">
        <v>0.033</v>
      </c>
      <c r="S72" s="231">
        <v>0.2094</v>
      </c>
      <c r="T72" s="67"/>
      <c r="U72" s="254"/>
      <c r="V72" s="254"/>
    </row>
    <row r="73" spans="1:22" ht="15" customHeight="1">
      <c r="A73" s="3"/>
      <c r="B73" s="3"/>
      <c r="C73" s="60"/>
      <c r="D73" s="17" t="s">
        <v>2333</v>
      </c>
      <c r="E73" s="17">
        <v>445.04</v>
      </c>
      <c r="F73" s="489">
        <v>2</v>
      </c>
      <c r="G73" s="17">
        <v>2.805</v>
      </c>
      <c r="H73" s="489"/>
      <c r="I73" s="248"/>
      <c r="J73" s="489"/>
      <c r="K73" s="17"/>
      <c r="L73" s="489">
        <v>9</v>
      </c>
      <c r="M73" s="489"/>
      <c r="N73" s="17"/>
      <c r="O73" s="489"/>
      <c r="P73" s="17"/>
      <c r="Q73" s="17"/>
      <c r="R73" s="231">
        <v>0.0325</v>
      </c>
      <c r="S73" s="231">
        <v>0.14689999999999998</v>
      </c>
      <c r="T73" s="67"/>
      <c r="U73" s="254"/>
      <c r="V73" s="254"/>
    </row>
    <row r="74" spans="1:22" ht="15" customHeight="1">
      <c r="A74" s="3"/>
      <c r="B74" s="3"/>
      <c r="C74" s="60"/>
      <c r="D74" s="17" t="s">
        <v>2334</v>
      </c>
      <c r="E74" s="17">
        <v>217.01</v>
      </c>
      <c r="F74" s="489">
        <v>2</v>
      </c>
      <c r="G74" s="17">
        <v>4.92</v>
      </c>
      <c r="H74" s="489"/>
      <c r="I74" s="248"/>
      <c r="J74" s="489"/>
      <c r="K74" s="17"/>
      <c r="L74" s="489">
        <v>4</v>
      </c>
      <c r="M74" s="489"/>
      <c r="N74" s="17"/>
      <c r="O74" s="489"/>
      <c r="P74" s="17"/>
      <c r="Q74" s="17"/>
      <c r="R74" s="231">
        <v>0.0171</v>
      </c>
      <c r="S74" s="231">
        <v>0.055600000000000004</v>
      </c>
      <c r="T74" s="67"/>
      <c r="U74" s="254"/>
      <c r="V74" s="254"/>
    </row>
    <row r="75" spans="1:22" ht="15" customHeight="1">
      <c r="A75" s="3"/>
      <c r="B75" s="3"/>
      <c r="C75" s="60"/>
      <c r="D75" s="17" t="s">
        <v>2335</v>
      </c>
      <c r="E75" s="17">
        <v>345.3</v>
      </c>
      <c r="F75" s="489">
        <v>1</v>
      </c>
      <c r="G75" s="17">
        <v>3.52</v>
      </c>
      <c r="H75" s="489"/>
      <c r="I75" s="248"/>
      <c r="J75" s="489"/>
      <c r="K75" s="17"/>
      <c r="L75" s="489">
        <v>6</v>
      </c>
      <c r="M75" s="489"/>
      <c r="N75" s="17"/>
      <c r="O75" s="489"/>
      <c r="P75" s="17"/>
      <c r="Q75" s="17"/>
      <c r="R75" s="231">
        <v>0.02</v>
      </c>
      <c r="S75" s="231">
        <v>0.077</v>
      </c>
      <c r="T75" s="67"/>
      <c r="U75" s="254"/>
      <c r="V75" s="254"/>
    </row>
    <row r="76" spans="1:22" s="97" customFormat="1" ht="15" customHeight="1">
      <c r="A76" s="107"/>
      <c r="B76" s="107"/>
      <c r="C76" s="94" t="s">
        <v>1657</v>
      </c>
      <c r="D76" s="96"/>
      <c r="E76" s="249">
        <f>SUM(E77:E91)+5000*4500/10000</f>
        <v>15919.5</v>
      </c>
      <c r="F76" s="242">
        <f aca="true" t="shared" si="8" ref="F76:S76">SUM(F77:F91)</f>
        <v>198</v>
      </c>
      <c r="G76" s="250">
        <f t="shared" si="8"/>
        <v>99</v>
      </c>
      <c r="H76" s="492">
        <f t="shared" si="8"/>
        <v>43</v>
      </c>
      <c r="I76" s="250">
        <f t="shared" si="8"/>
        <v>66.60000000000001</v>
      </c>
      <c r="J76" s="492">
        <f>SUM(J77:J91)+5000</f>
        <v>8390</v>
      </c>
      <c r="K76" s="250">
        <f>SUM(K77:K91)+5000*20</f>
        <v>167800</v>
      </c>
      <c r="L76" s="492">
        <f t="shared" si="8"/>
        <v>161</v>
      </c>
      <c r="M76" s="492">
        <f t="shared" si="8"/>
        <v>28</v>
      </c>
      <c r="N76" s="250">
        <f t="shared" si="8"/>
        <v>420</v>
      </c>
      <c r="O76" s="492">
        <f t="shared" si="8"/>
        <v>28</v>
      </c>
      <c r="P76" s="250">
        <f t="shared" si="8"/>
        <v>2250</v>
      </c>
      <c r="Q76" s="250">
        <f t="shared" si="8"/>
        <v>1.1530500000000001</v>
      </c>
      <c r="R76" s="250">
        <f t="shared" si="8"/>
        <v>1.92175</v>
      </c>
      <c r="S76" s="250">
        <f t="shared" si="8"/>
        <v>2.7338999999999998</v>
      </c>
      <c r="T76" s="95"/>
      <c r="U76" s="229"/>
      <c r="V76" s="229"/>
    </row>
    <row r="77" spans="1:20" ht="15" customHeight="1">
      <c r="A77" s="3"/>
      <c r="B77" s="3"/>
      <c r="C77" s="4"/>
      <c r="D77" s="228" t="s">
        <v>1658</v>
      </c>
      <c r="E77" s="207">
        <v>1456</v>
      </c>
      <c r="F77" s="228">
        <v>15</v>
      </c>
      <c r="G77" s="205">
        <f>F77*0.5</f>
        <v>7.5</v>
      </c>
      <c r="H77" s="228">
        <v>4</v>
      </c>
      <c r="I77" s="205">
        <v>4.5</v>
      </c>
      <c r="J77" s="216">
        <v>352</v>
      </c>
      <c r="K77" s="205">
        <f>J77*20</f>
        <v>7040</v>
      </c>
      <c r="L77" s="216">
        <v>15</v>
      </c>
      <c r="M77" s="228">
        <v>3</v>
      </c>
      <c r="N77" s="205">
        <f>M77*15</f>
        <v>45</v>
      </c>
      <c r="O77" s="228">
        <v>3</v>
      </c>
      <c r="P77" s="205">
        <f>3*50</f>
        <v>150</v>
      </c>
      <c r="Q77" s="251">
        <v>0.09888</v>
      </c>
      <c r="R77" s="251">
        <v>0.1648</v>
      </c>
      <c r="S77" s="252">
        <v>0.2912</v>
      </c>
      <c r="T77" s="59"/>
    </row>
    <row r="78" spans="1:20" ht="15" customHeight="1">
      <c r="A78" s="3"/>
      <c r="B78" s="3"/>
      <c r="C78" s="59"/>
      <c r="D78" s="228" t="s">
        <v>1659</v>
      </c>
      <c r="E78" s="207">
        <v>1174</v>
      </c>
      <c r="F78" s="227">
        <v>16</v>
      </c>
      <c r="G78" s="205">
        <f aca="true" t="shared" si="9" ref="G78:G91">F78*0.5</f>
        <v>8</v>
      </c>
      <c r="H78" s="228">
        <v>4</v>
      </c>
      <c r="I78" s="231">
        <v>5.4</v>
      </c>
      <c r="J78" s="216">
        <v>280</v>
      </c>
      <c r="K78" s="205">
        <f aca="true" t="shared" si="10" ref="K78:K91">J78*20</f>
        <v>5600</v>
      </c>
      <c r="L78" s="216">
        <v>25</v>
      </c>
      <c r="M78" s="228">
        <v>3</v>
      </c>
      <c r="N78" s="205">
        <f aca="true" t="shared" si="11" ref="N78:N91">M78*15</f>
        <v>45</v>
      </c>
      <c r="O78" s="228">
        <v>3</v>
      </c>
      <c r="P78" s="205">
        <f aca="true" t="shared" si="12" ref="P78:P91">3*50</f>
        <v>150</v>
      </c>
      <c r="Q78" s="251">
        <v>0.11997000000000001</v>
      </c>
      <c r="R78" s="251">
        <v>0.19995</v>
      </c>
      <c r="S78" s="252">
        <v>0.2348</v>
      </c>
      <c r="T78" s="59"/>
    </row>
    <row r="79" spans="1:20" ht="15" customHeight="1">
      <c r="A79" s="3"/>
      <c r="B79" s="3"/>
      <c r="C79" s="59"/>
      <c r="D79" s="228" t="s">
        <v>1660</v>
      </c>
      <c r="E79" s="207">
        <v>763.0000000000001</v>
      </c>
      <c r="F79" s="227">
        <v>11</v>
      </c>
      <c r="G79" s="205">
        <f t="shared" si="9"/>
        <v>5.5</v>
      </c>
      <c r="H79" s="228">
        <v>2</v>
      </c>
      <c r="I79" s="231">
        <v>2.7</v>
      </c>
      <c r="J79" s="216">
        <v>180</v>
      </c>
      <c r="K79" s="205">
        <f t="shared" si="10"/>
        <v>3600</v>
      </c>
      <c r="L79" s="216">
        <v>17</v>
      </c>
      <c r="M79" s="228">
        <v>1</v>
      </c>
      <c r="N79" s="205">
        <f t="shared" si="11"/>
        <v>15</v>
      </c>
      <c r="O79" s="228">
        <v>1</v>
      </c>
      <c r="P79" s="205">
        <f t="shared" si="12"/>
        <v>150</v>
      </c>
      <c r="Q79" s="251">
        <v>0.06555</v>
      </c>
      <c r="R79" s="251">
        <v>0.10925</v>
      </c>
      <c r="S79" s="252">
        <v>0.1526</v>
      </c>
      <c r="T79" s="59"/>
    </row>
    <row r="80" spans="1:20" ht="15" customHeight="1">
      <c r="A80" s="3"/>
      <c r="B80" s="3"/>
      <c r="C80" s="59"/>
      <c r="D80" s="228" t="s">
        <v>1661</v>
      </c>
      <c r="E80" s="207">
        <v>991.5</v>
      </c>
      <c r="F80" s="227">
        <v>13</v>
      </c>
      <c r="G80" s="205">
        <f t="shared" si="9"/>
        <v>6.5</v>
      </c>
      <c r="H80" s="228">
        <v>3</v>
      </c>
      <c r="I80" s="231">
        <v>4.5</v>
      </c>
      <c r="J80" s="216">
        <v>238</v>
      </c>
      <c r="K80" s="205">
        <f t="shared" si="10"/>
        <v>4760</v>
      </c>
      <c r="L80" s="216">
        <v>16</v>
      </c>
      <c r="M80" s="228">
        <v>2</v>
      </c>
      <c r="N80" s="205">
        <f t="shared" si="11"/>
        <v>30</v>
      </c>
      <c r="O80" s="228">
        <v>2</v>
      </c>
      <c r="P80" s="205">
        <f t="shared" si="12"/>
        <v>150</v>
      </c>
      <c r="Q80" s="251">
        <v>0.08664</v>
      </c>
      <c r="R80" s="251">
        <v>0.1444</v>
      </c>
      <c r="S80" s="252">
        <v>0.1983</v>
      </c>
      <c r="T80" s="59"/>
    </row>
    <row r="81" spans="1:20" ht="15" customHeight="1">
      <c r="A81" s="3"/>
      <c r="B81" s="3"/>
      <c r="C81" s="59"/>
      <c r="D81" s="228" t="s">
        <v>1662</v>
      </c>
      <c r="E81" s="207">
        <v>984.5</v>
      </c>
      <c r="F81" s="227">
        <v>16</v>
      </c>
      <c r="G81" s="205">
        <f t="shared" si="9"/>
        <v>8</v>
      </c>
      <c r="H81" s="228">
        <v>3</v>
      </c>
      <c r="I81" s="231">
        <v>3.6</v>
      </c>
      <c r="J81" s="216">
        <v>240</v>
      </c>
      <c r="K81" s="205">
        <f t="shared" si="10"/>
        <v>4800</v>
      </c>
      <c r="L81" s="216">
        <v>7</v>
      </c>
      <c r="M81" s="228">
        <v>2</v>
      </c>
      <c r="N81" s="205">
        <f t="shared" si="11"/>
        <v>30</v>
      </c>
      <c r="O81" s="228">
        <v>2</v>
      </c>
      <c r="P81" s="205">
        <f t="shared" si="12"/>
        <v>150</v>
      </c>
      <c r="Q81" s="251">
        <v>0.09792000000000001</v>
      </c>
      <c r="R81" s="251">
        <v>0.1632</v>
      </c>
      <c r="S81" s="252">
        <v>0.1969</v>
      </c>
      <c r="T81" s="59"/>
    </row>
    <row r="82" spans="1:20" ht="15" customHeight="1">
      <c r="A82" s="3"/>
      <c r="B82" s="3"/>
      <c r="C82" s="59"/>
      <c r="D82" s="228" t="s">
        <v>1663</v>
      </c>
      <c r="E82" s="207">
        <v>944</v>
      </c>
      <c r="F82" s="227">
        <v>14</v>
      </c>
      <c r="G82" s="205">
        <f t="shared" si="9"/>
        <v>7</v>
      </c>
      <c r="H82" s="228">
        <v>3</v>
      </c>
      <c r="I82" s="231">
        <v>5.4</v>
      </c>
      <c r="J82" s="216">
        <v>226</v>
      </c>
      <c r="K82" s="205">
        <f t="shared" si="10"/>
        <v>4520</v>
      </c>
      <c r="L82" s="216">
        <v>4</v>
      </c>
      <c r="M82" s="228">
        <v>2</v>
      </c>
      <c r="N82" s="205">
        <f t="shared" si="11"/>
        <v>30</v>
      </c>
      <c r="O82" s="228">
        <v>2</v>
      </c>
      <c r="P82" s="205">
        <f t="shared" si="12"/>
        <v>150</v>
      </c>
      <c r="Q82" s="251">
        <v>0.08417999999999999</v>
      </c>
      <c r="R82" s="251">
        <v>0.1403</v>
      </c>
      <c r="S82" s="252">
        <v>0.1888</v>
      </c>
      <c r="T82" s="59"/>
    </row>
    <row r="83" spans="1:20" ht="15" customHeight="1">
      <c r="A83" s="3"/>
      <c r="B83" s="3"/>
      <c r="C83" s="59"/>
      <c r="D83" s="228" t="s">
        <v>1664</v>
      </c>
      <c r="E83" s="207">
        <v>1154.5</v>
      </c>
      <c r="F83" s="227">
        <v>17</v>
      </c>
      <c r="G83" s="205">
        <f t="shared" si="9"/>
        <v>8.5</v>
      </c>
      <c r="H83" s="228">
        <v>3</v>
      </c>
      <c r="I83" s="231">
        <v>6.3</v>
      </c>
      <c r="J83" s="216">
        <v>305</v>
      </c>
      <c r="K83" s="205">
        <f t="shared" si="10"/>
        <v>6100</v>
      </c>
      <c r="L83" s="216">
        <v>14</v>
      </c>
      <c r="M83" s="228">
        <v>2</v>
      </c>
      <c r="N83" s="205">
        <f t="shared" si="11"/>
        <v>30</v>
      </c>
      <c r="O83" s="228">
        <v>2</v>
      </c>
      <c r="P83" s="205">
        <f t="shared" si="12"/>
        <v>150</v>
      </c>
      <c r="Q83" s="251">
        <v>0.09897</v>
      </c>
      <c r="R83" s="251">
        <v>0.16495</v>
      </c>
      <c r="S83" s="252">
        <v>0.2309</v>
      </c>
      <c r="T83" s="59"/>
    </row>
    <row r="84" spans="1:20" ht="15" customHeight="1">
      <c r="A84" s="3"/>
      <c r="B84" s="3"/>
      <c r="C84" s="59"/>
      <c r="D84" s="228" t="s">
        <v>1665</v>
      </c>
      <c r="E84" s="207">
        <v>467.5</v>
      </c>
      <c r="F84" s="228">
        <v>7</v>
      </c>
      <c r="G84" s="205">
        <f t="shared" si="9"/>
        <v>3.5</v>
      </c>
      <c r="H84" s="228">
        <v>2</v>
      </c>
      <c r="I84" s="205">
        <v>3.6</v>
      </c>
      <c r="J84" s="216">
        <v>116</v>
      </c>
      <c r="K84" s="205">
        <f t="shared" si="10"/>
        <v>2320</v>
      </c>
      <c r="L84" s="216">
        <v>11</v>
      </c>
      <c r="M84" s="228">
        <v>1</v>
      </c>
      <c r="N84" s="205">
        <f t="shared" si="11"/>
        <v>15</v>
      </c>
      <c r="O84" s="228">
        <v>1</v>
      </c>
      <c r="P84" s="205">
        <f t="shared" si="12"/>
        <v>150</v>
      </c>
      <c r="Q84" s="251">
        <v>0.04533</v>
      </c>
      <c r="R84" s="251">
        <v>0.07555</v>
      </c>
      <c r="S84" s="252">
        <v>0.0935</v>
      </c>
      <c r="T84" s="59"/>
    </row>
    <row r="85" spans="1:20" ht="15" customHeight="1">
      <c r="A85" s="3"/>
      <c r="B85" s="3"/>
      <c r="C85" s="59"/>
      <c r="D85" s="228" t="s">
        <v>1666</v>
      </c>
      <c r="E85" s="207">
        <v>325</v>
      </c>
      <c r="F85" s="227">
        <v>7</v>
      </c>
      <c r="G85" s="205">
        <f t="shared" si="9"/>
        <v>3.5</v>
      </c>
      <c r="H85" s="228">
        <v>2</v>
      </c>
      <c r="I85" s="231">
        <v>4.5</v>
      </c>
      <c r="J85" s="216">
        <v>82</v>
      </c>
      <c r="K85" s="205">
        <f t="shared" si="10"/>
        <v>1640</v>
      </c>
      <c r="L85" s="216">
        <v>7</v>
      </c>
      <c r="M85" s="228">
        <v>1</v>
      </c>
      <c r="N85" s="205">
        <f t="shared" si="11"/>
        <v>15</v>
      </c>
      <c r="O85" s="228">
        <v>1</v>
      </c>
      <c r="P85" s="205">
        <f t="shared" si="12"/>
        <v>150</v>
      </c>
      <c r="Q85" s="251">
        <v>0.035910000000000004</v>
      </c>
      <c r="R85" s="251">
        <v>0.05985</v>
      </c>
      <c r="S85" s="252">
        <v>0.065</v>
      </c>
      <c r="T85" s="59"/>
    </row>
    <row r="86" spans="1:20" ht="15" customHeight="1">
      <c r="A86" s="3"/>
      <c r="B86" s="3"/>
      <c r="C86" s="59"/>
      <c r="D86" s="228" t="s">
        <v>1667</v>
      </c>
      <c r="E86" s="207">
        <v>477.5</v>
      </c>
      <c r="F86" s="227">
        <v>9</v>
      </c>
      <c r="G86" s="205">
        <f t="shared" si="9"/>
        <v>4.5</v>
      </c>
      <c r="H86" s="228">
        <v>2</v>
      </c>
      <c r="I86" s="231">
        <v>6.3</v>
      </c>
      <c r="J86" s="216">
        <v>127</v>
      </c>
      <c r="K86" s="205">
        <f t="shared" si="10"/>
        <v>2540</v>
      </c>
      <c r="L86" s="216">
        <v>4</v>
      </c>
      <c r="M86" s="228">
        <v>1</v>
      </c>
      <c r="N86" s="205">
        <f t="shared" si="11"/>
        <v>15</v>
      </c>
      <c r="O86" s="228">
        <v>1</v>
      </c>
      <c r="P86" s="205">
        <f t="shared" si="12"/>
        <v>150</v>
      </c>
      <c r="Q86" s="251">
        <v>0.05391</v>
      </c>
      <c r="R86" s="251">
        <v>0.08985</v>
      </c>
      <c r="S86" s="252">
        <v>0.0955</v>
      </c>
      <c r="T86" s="59"/>
    </row>
    <row r="87" spans="1:20" ht="15" customHeight="1">
      <c r="A87" s="3"/>
      <c r="B87" s="3"/>
      <c r="C87" s="59"/>
      <c r="D87" s="228" t="s">
        <v>1668</v>
      </c>
      <c r="E87" s="207">
        <v>1806.5</v>
      </c>
      <c r="F87" s="227">
        <v>23</v>
      </c>
      <c r="G87" s="205">
        <f t="shared" si="9"/>
        <v>11.5</v>
      </c>
      <c r="H87" s="228">
        <v>5</v>
      </c>
      <c r="I87" s="231">
        <v>7.2</v>
      </c>
      <c r="J87" s="216">
        <v>430</v>
      </c>
      <c r="K87" s="205">
        <f t="shared" si="10"/>
        <v>8600</v>
      </c>
      <c r="L87" s="216">
        <v>11</v>
      </c>
      <c r="M87" s="228">
        <v>4</v>
      </c>
      <c r="N87" s="205">
        <f t="shared" si="11"/>
        <v>60</v>
      </c>
      <c r="O87" s="228">
        <v>4</v>
      </c>
      <c r="P87" s="205">
        <f t="shared" si="12"/>
        <v>150</v>
      </c>
      <c r="Q87" s="251">
        <v>0.13116</v>
      </c>
      <c r="R87" s="251">
        <v>0.2186</v>
      </c>
      <c r="S87" s="252">
        <v>0.3613</v>
      </c>
      <c r="T87" s="59"/>
    </row>
    <row r="88" spans="1:20" ht="15" customHeight="1">
      <c r="A88" s="3"/>
      <c r="B88" s="3"/>
      <c r="C88" s="59"/>
      <c r="D88" s="228" t="s">
        <v>1669</v>
      </c>
      <c r="E88" s="207">
        <v>862.4999999999999</v>
      </c>
      <c r="F88" s="227">
        <v>14</v>
      </c>
      <c r="G88" s="205">
        <f t="shared" si="9"/>
        <v>7</v>
      </c>
      <c r="H88" s="228">
        <v>3</v>
      </c>
      <c r="I88" s="231">
        <v>2.7</v>
      </c>
      <c r="J88" s="216">
        <v>220</v>
      </c>
      <c r="K88" s="205">
        <f t="shared" si="10"/>
        <v>4400</v>
      </c>
      <c r="L88" s="216">
        <v>8</v>
      </c>
      <c r="M88" s="228">
        <v>2</v>
      </c>
      <c r="N88" s="205">
        <f t="shared" si="11"/>
        <v>30</v>
      </c>
      <c r="O88" s="228">
        <v>2</v>
      </c>
      <c r="P88" s="205">
        <f t="shared" si="12"/>
        <v>150</v>
      </c>
      <c r="Q88" s="251">
        <v>0.07293</v>
      </c>
      <c r="R88" s="251">
        <v>0.12155</v>
      </c>
      <c r="S88" s="252">
        <v>0.1725</v>
      </c>
      <c r="T88" s="59"/>
    </row>
    <row r="89" spans="1:20" ht="15" customHeight="1">
      <c r="A89" s="3"/>
      <c r="B89" s="3"/>
      <c r="C89" s="59"/>
      <c r="D89" s="228" t="s">
        <v>1670</v>
      </c>
      <c r="E89" s="207">
        <v>972.5</v>
      </c>
      <c r="F89" s="227">
        <v>13</v>
      </c>
      <c r="G89" s="205">
        <f t="shared" si="9"/>
        <v>6.5</v>
      </c>
      <c r="H89" s="228">
        <v>3</v>
      </c>
      <c r="I89" s="231">
        <v>2.7</v>
      </c>
      <c r="J89" s="216">
        <v>237</v>
      </c>
      <c r="K89" s="205">
        <f t="shared" si="10"/>
        <v>4740</v>
      </c>
      <c r="L89" s="216">
        <v>11</v>
      </c>
      <c r="M89" s="228">
        <v>2</v>
      </c>
      <c r="N89" s="205">
        <f t="shared" si="11"/>
        <v>30</v>
      </c>
      <c r="O89" s="228">
        <v>2</v>
      </c>
      <c r="P89" s="205">
        <f t="shared" si="12"/>
        <v>150</v>
      </c>
      <c r="Q89" s="251">
        <v>0.059489999999999994</v>
      </c>
      <c r="R89" s="251">
        <v>0.09915</v>
      </c>
      <c r="S89" s="252">
        <v>0.1945</v>
      </c>
      <c r="T89" s="59"/>
    </row>
    <row r="90" spans="1:20" ht="15" customHeight="1">
      <c r="A90" s="3"/>
      <c r="B90" s="3"/>
      <c r="C90" s="59"/>
      <c r="D90" s="228" t="s">
        <v>1671</v>
      </c>
      <c r="E90" s="207">
        <v>668</v>
      </c>
      <c r="F90" s="227">
        <v>12</v>
      </c>
      <c r="G90" s="205">
        <f t="shared" si="9"/>
        <v>6</v>
      </c>
      <c r="H90" s="228">
        <v>2</v>
      </c>
      <c r="I90" s="231">
        <v>2.7</v>
      </c>
      <c r="J90" s="216">
        <v>177</v>
      </c>
      <c r="K90" s="205">
        <f t="shared" si="10"/>
        <v>3540</v>
      </c>
      <c r="L90" s="216">
        <v>5</v>
      </c>
      <c r="M90" s="228">
        <v>1</v>
      </c>
      <c r="N90" s="205">
        <f t="shared" si="11"/>
        <v>15</v>
      </c>
      <c r="O90" s="228">
        <v>1</v>
      </c>
      <c r="P90" s="205">
        <f t="shared" si="12"/>
        <v>150</v>
      </c>
      <c r="Q90" s="251">
        <v>0.05265</v>
      </c>
      <c r="R90" s="251">
        <v>0.08775</v>
      </c>
      <c r="S90" s="252">
        <v>0.1336</v>
      </c>
      <c r="T90" s="59"/>
    </row>
    <row r="91" spans="1:20" ht="15" customHeight="1">
      <c r="A91" s="3"/>
      <c r="B91" s="3"/>
      <c r="C91" s="59"/>
      <c r="D91" s="228" t="s">
        <v>1672</v>
      </c>
      <c r="E91" s="207">
        <v>622.5</v>
      </c>
      <c r="F91" s="228">
        <v>11</v>
      </c>
      <c r="G91" s="205">
        <f t="shared" si="9"/>
        <v>5.5</v>
      </c>
      <c r="H91" s="228">
        <v>2</v>
      </c>
      <c r="I91" s="205">
        <v>4.5</v>
      </c>
      <c r="J91" s="216">
        <v>180</v>
      </c>
      <c r="K91" s="205">
        <f t="shared" si="10"/>
        <v>3600</v>
      </c>
      <c r="L91" s="216">
        <v>6</v>
      </c>
      <c r="M91" s="228">
        <v>1</v>
      </c>
      <c r="N91" s="205">
        <f t="shared" si="11"/>
        <v>15</v>
      </c>
      <c r="O91" s="228">
        <v>1</v>
      </c>
      <c r="P91" s="205">
        <f t="shared" si="12"/>
        <v>150</v>
      </c>
      <c r="Q91" s="251">
        <v>0.04956</v>
      </c>
      <c r="R91" s="251">
        <v>0.0826</v>
      </c>
      <c r="S91" s="252">
        <v>0.1245</v>
      </c>
      <c r="T91" s="59"/>
    </row>
    <row r="92" spans="1:20" s="97" customFormat="1" ht="15" customHeight="1">
      <c r="A92" s="107"/>
      <c r="B92" s="107"/>
      <c r="C92" s="98" t="s">
        <v>1687</v>
      </c>
      <c r="D92" s="253"/>
      <c r="E92" s="240">
        <f>SUM(E93:E100)+5000*4500/10000</f>
        <v>10354.72</v>
      </c>
      <c r="F92" s="253">
        <f aca="true" t="shared" si="13" ref="F92:S92">SUM(F93:F100)</f>
        <v>140</v>
      </c>
      <c r="G92" s="240">
        <f t="shared" si="13"/>
        <v>146.31</v>
      </c>
      <c r="H92" s="253">
        <f t="shared" si="13"/>
        <v>8</v>
      </c>
      <c r="I92" s="240">
        <f t="shared" si="13"/>
        <v>9</v>
      </c>
      <c r="J92" s="253">
        <f>SUM(J93:J100)+5000</f>
        <v>5000</v>
      </c>
      <c r="K92" s="240">
        <f>SUM(K93:K100)+5000*20</f>
        <v>100000</v>
      </c>
      <c r="L92" s="253">
        <f t="shared" si="13"/>
        <v>110</v>
      </c>
      <c r="M92" s="253">
        <f t="shared" si="13"/>
        <v>12</v>
      </c>
      <c r="N92" s="240">
        <f t="shared" si="13"/>
        <v>1135</v>
      </c>
      <c r="O92" s="253">
        <f t="shared" si="13"/>
        <v>3</v>
      </c>
      <c r="P92" s="240">
        <f t="shared" si="13"/>
        <v>1100</v>
      </c>
      <c r="Q92" s="240">
        <f t="shared" si="13"/>
        <v>0.325</v>
      </c>
      <c r="R92" s="240">
        <f t="shared" si="13"/>
        <v>0.764</v>
      </c>
      <c r="S92" s="240">
        <f t="shared" si="13"/>
        <v>2.8000000000000003</v>
      </c>
      <c r="T92" s="108"/>
    </row>
    <row r="93" spans="1:20" ht="15" customHeight="1">
      <c r="A93" s="3"/>
      <c r="B93" s="3"/>
      <c r="C93" s="4"/>
      <c r="D93" s="231" t="s">
        <v>1691</v>
      </c>
      <c r="E93" s="231">
        <f>558.4+372</f>
        <v>930.4</v>
      </c>
      <c r="F93" s="228">
        <v>19</v>
      </c>
      <c r="G93" s="205">
        <f>11.2+8.5</f>
        <v>19.7</v>
      </c>
      <c r="H93" s="228">
        <v>3</v>
      </c>
      <c r="I93" s="205">
        <v>6.5</v>
      </c>
      <c r="J93" s="228"/>
      <c r="K93" s="205"/>
      <c r="L93" s="228">
        <v>14</v>
      </c>
      <c r="M93" s="228"/>
      <c r="N93" s="205"/>
      <c r="O93" s="228"/>
      <c r="P93" s="205"/>
      <c r="Q93" s="231">
        <v>0.045</v>
      </c>
      <c r="R93" s="231">
        <v>0.125</v>
      </c>
      <c r="S93" s="231">
        <f>0.65</f>
        <v>0.65</v>
      </c>
      <c r="T93" s="73"/>
    </row>
    <row r="94" spans="1:20" ht="15" customHeight="1">
      <c r="A94" s="3"/>
      <c r="B94" s="3"/>
      <c r="C94" s="60"/>
      <c r="D94" s="231" t="s">
        <v>1690</v>
      </c>
      <c r="E94" s="231">
        <f>509+286.4+700</f>
        <v>1495.4</v>
      </c>
      <c r="F94" s="227">
        <f>15+9</f>
        <v>24</v>
      </c>
      <c r="G94" s="231">
        <v>19.2</v>
      </c>
      <c r="H94" s="227">
        <v>1</v>
      </c>
      <c r="I94" s="231">
        <v>1</v>
      </c>
      <c r="J94" s="227"/>
      <c r="K94" s="231"/>
      <c r="L94" s="227">
        <v>14</v>
      </c>
      <c r="M94" s="227">
        <v>3</v>
      </c>
      <c r="N94" s="231">
        <v>45</v>
      </c>
      <c r="O94" s="227">
        <v>1</v>
      </c>
      <c r="P94" s="231">
        <v>800</v>
      </c>
      <c r="Q94" s="231">
        <v>0.04</v>
      </c>
      <c r="R94" s="231">
        <v>0.135</v>
      </c>
      <c r="S94" s="231">
        <f>0.4+0.29</f>
        <v>0.69</v>
      </c>
      <c r="T94" s="73"/>
    </row>
    <row r="95" spans="1:20" ht="15" customHeight="1">
      <c r="A95" s="3"/>
      <c r="B95" s="3"/>
      <c r="C95" s="60"/>
      <c r="D95" s="231" t="s">
        <v>1689</v>
      </c>
      <c r="E95" s="231">
        <f>508.4+715.2+60</f>
        <v>1283.6</v>
      </c>
      <c r="F95" s="227">
        <f>30</f>
        <v>30</v>
      </c>
      <c r="G95" s="231">
        <f>23.2+9.6</f>
        <v>32.8</v>
      </c>
      <c r="H95" s="227">
        <v>3</v>
      </c>
      <c r="I95" s="231">
        <v>1</v>
      </c>
      <c r="J95" s="227"/>
      <c r="K95" s="231"/>
      <c r="L95" s="227">
        <v>22</v>
      </c>
      <c r="M95" s="227"/>
      <c r="N95" s="231"/>
      <c r="O95" s="227">
        <v>2</v>
      </c>
      <c r="P95" s="231">
        <v>300</v>
      </c>
      <c r="Q95" s="231">
        <v>0.03</v>
      </c>
      <c r="R95" s="231">
        <v>0.15</v>
      </c>
      <c r="S95" s="231">
        <v>0.58</v>
      </c>
      <c r="T95" s="73"/>
    </row>
    <row r="96" spans="1:20" ht="15" customHeight="1">
      <c r="A96" s="3"/>
      <c r="B96" s="3"/>
      <c r="C96" s="60"/>
      <c r="D96" s="206" t="s">
        <v>1688</v>
      </c>
      <c r="E96" s="231">
        <v>596</v>
      </c>
      <c r="F96" s="228">
        <v>8</v>
      </c>
      <c r="G96" s="205">
        <f>(300+150+250+1000+700+3000+1200+3900)/1000</f>
        <v>10.5</v>
      </c>
      <c r="H96" s="227"/>
      <c r="I96" s="231"/>
      <c r="J96" s="227"/>
      <c r="K96" s="231"/>
      <c r="L96" s="227">
        <v>11</v>
      </c>
      <c r="M96" s="227">
        <v>2</v>
      </c>
      <c r="N96" s="231">
        <v>30</v>
      </c>
      <c r="O96" s="227"/>
      <c r="P96" s="231"/>
      <c r="Q96" s="231">
        <v>0.02</v>
      </c>
      <c r="R96" s="231">
        <v>0.06</v>
      </c>
      <c r="S96" s="231">
        <v>0.22</v>
      </c>
      <c r="T96" s="73"/>
    </row>
    <row r="97" spans="1:20" ht="15" customHeight="1">
      <c r="A97" s="3"/>
      <c r="B97" s="3"/>
      <c r="C97" s="60"/>
      <c r="D97" s="206" t="s">
        <v>1692</v>
      </c>
      <c r="E97" s="231">
        <v>784.4</v>
      </c>
      <c r="F97" s="216">
        <v>14</v>
      </c>
      <c r="G97" s="206">
        <f>F97*800/1000</f>
        <v>11.2</v>
      </c>
      <c r="H97" s="227">
        <v>1</v>
      </c>
      <c r="I97" s="231">
        <v>0.5</v>
      </c>
      <c r="J97" s="227"/>
      <c r="K97" s="231"/>
      <c r="L97" s="216">
        <v>16</v>
      </c>
      <c r="M97" s="227"/>
      <c r="N97" s="231"/>
      <c r="O97" s="227"/>
      <c r="P97" s="231"/>
      <c r="Q97" s="206">
        <v>0.035</v>
      </c>
      <c r="R97" s="206">
        <v>0.08</v>
      </c>
      <c r="S97" s="206">
        <v>0.12</v>
      </c>
      <c r="T97" s="73"/>
    </row>
    <row r="98" spans="1:20" ht="15" customHeight="1">
      <c r="A98" s="3"/>
      <c r="B98" s="3"/>
      <c r="C98" s="60"/>
      <c r="D98" s="206" t="s">
        <v>1693</v>
      </c>
      <c r="E98" s="231">
        <v>349.48</v>
      </c>
      <c r="F98" s="216">
        <v>8</v>
      </c>
      <c r="G98" s="206">
        <f>2.2+0.82+7.5+1.55+0.72+1.05+1.3+0.65</f>
        <v>15.790000000000003</v>
      </c>
      <c r="H98" s="227"/>
      <c r="I98" s="231"/>
      <c r="J98" s="227"/>
      <c r="K98" s="231"/>
      <c r="L98" s="216">
        <v>4</v>
      </c>
      <c r="M98" s="227"/>
      <c r="N98" s="231"/>
      <c r="O98" s="227"/>
      <c r="P98" s="231"/>
      <c r="Q98" s="206">
        <v>0.005</v>
      </c>
      <c r="R98" s="206">
        <v>0.035</v>
      </c>
      <c r="S98" s="206">
        <v>0.13</v>
      </c>
      <c r="T98" s="73"/>
    </row>
    <row r="99" spans="1:20" ht="15" customHeight="1">
      <c r="A99" s="3"/>
      <c r="B99" s="3"/>
      <c r="C99" s="60"/>
      <c r="D99" s="231" t="s">
        <v>1694</v>
      </c>
      <c r="E99" s="233">
        <v>1415.84</v>
      </c>
      <c r="F99" s="227">
        <v>11</v>
      </c>
      <c r="G99" s="231">
        <f>1.52+0.98+0.84+2.12+1.27+1.62+1.26+2.74+0.87+1.12+1.98</f>
        <v>16.32</v>
      </c>
      <c r="H99" s="227"/>
      <c r="I99" s="231"/>
      <c r="J99" s="227"/>
      <c r="K99" s="231"/>
      <c r="L99" s="227">
        <v>13</v>
      </c>
      <c r="M99" s="227">
        <v>3</v>
      </c>
      <c r="N99" s="231">
        <v>700</v>
      </c>
      <c r="O99" s="227"/>
      <c r="P99" s="231"/>
      <c r="Q99" s="231">
        <v>0.08</v>
      </c>
      <c r="R99" s="231">
        <v>0.084</v>
      </c>
      <c r="S99" s="231">
        <v>0.25</v>
      </c>
      <c r="T99" s="74"/>
    </row>
    <row r="100" spans="1:20" ht="15" customHeight="1">
      <c r="A100" s="3"/>
      <c r="B100" s="3"/>
      <c r="C100" s="60"/>
      <c r="D100" s="231" t="s">
        <v>1695</v>
      </c>
      <c r="E100" s="233">
        <v>1249.6</v>
      </c>
      <c r="F100" s="227">
        <v>26</v>
      </c>
      <c r="G100" s="231">
        <f>F100*800/1000</f>
        <v>20.8</v>
      </c>
      <c r="H100" s="227"/>
      <c r="I100" s="231"/>
      <c r="J100" s="227"/>
      <c r="K100" s="231"/>
      <c r="L100" s="227">
        <v>16</v>
      </c>
      <c r="M100" s="227">
        <v>4</v>
      </c>
      <c r="N100" s="231">
        <v>360</v>
      </c>
      <c r="O100" s="227"/>
      <c r="P100" s="231"/>
      <c r="Q100" s="231">
        <v>0.07</v>
      </c>
      <c r="R100" s="231">
        <v>0.095</v>
      </c>
      <c r="S100" s="231">
        <v>0.16</v>
      </c>
      <c r="T100" s="74"/>
    </row>
  </sheetData>
  <sheetProtection/>
  <mergeCells count="13">
    <mergeCell ref="A1:T1"/>
    <mergeCell ref="A2:A3"/>
    <mergeCell ref="C2:C3"/>
    <mergeCell ref="E2:E3"/>
    <mergeCell ref="F2:G2"/>
    <mergeCell ref="H2:I2"/>
    <mergeCell ref="J2:K2"/>
    <mergeCell ref="M2:N2"/>
    <mergeCell ref="O2:P2"/>
    <mergeCell ref="Q2:S2"/>
    <mergeCell ref="T2:T3"/>
    <mergeCell ref="B2:B3"/>
    <mergeCell ref="D2:D3"/>
  </mergeCells>
  <printOptions/>
  <pageMargins left="0.7086614173228347" right="0.2755905511811024" top="0.54" bottom="0.7480314960629921" header="0.31496062992125984" footer="0.31496062992125984"/>
  <pageSetup horizontalDpi="600" verticalDpi="600" orientation="landscape" paperSize="9" scale="90" r:id="rId3"/>
  <headerFooter>
    <oddFooter>&amp;C第 &amp;P 页，共 &amp;N 页</oddFooter>
  </headerFooter>
  <legacyDrawing r:id="rId2"/>
</worksheet>
</file>

<file path=xl/worksheets/sheet15.xml><?xml version="1.0" encoding="utf-8"?>
<worksheet xmlns="http://schemas.openxmlformats.org/spreadsheetml/2006/main" xmlns:r="http://schemas.openxmlformats.org/officeDocument/2006/relationships">
  <sheetPr>
    <tabColor rgb="FFFF0000"/>
  </sheetPr>
  <dimension ref="A1:AL27"/>
  <sheetViews>
    <sheetView showZero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R32" sqref="R32"/>
    </sheetView>
  </sheetViews>
  <sheetFormatPr defaultColWidth="9.00390625" defaultRowHeight="13.5"/>
  <cols>
    <col min="1" max="1" width="29.875" style="0" customWidth="1"/>
    <col min="2" max="2" width="9.00390625" style="638" customWidth="1"/>
    <col min="3" max="3" width="7.625" style="638" customWidth="1"/>
    <col min="4" max="9" width="9.00390625" style="638" customWidth="1"/>
    <col min="10" max="13" width="9.00390625" style="0" hidden="1" customWidth="1"/>
    <col min="14" max="15" width="7.50390625" style="638" customWidth="1"/>
    <col min="16" max="17" width="9.00390625" style="638" customWidth="1"/>
    <col min="18" max="18" width="8.875" style="638" customWidth="1"/>
    <col min="19" max="31" width="9.00390625" style="0" hidden="1" customWidth="1"/>
    <col min="32" max="32" width="9.00390625" style="638" customWidth="1"/>
    <col min="33" max="37" width="0" style="0" hidden="1" customWidth="1"/>
  </cols>
  <sheetData>
    <row r="1" spans="1:38" ht="18.75">
      <c r="A1" s="836" t="s">
        <v>1053</v>
      </c>
      <c r="B1" s="837"/>
      <c r="C1" s="837"/>
      <c r="D1" s="837"/>
      <c r="E1" s="837"/>
      <c r="F1" s="837"/>
      <c r="G1" s="837"/>
      <c r="H1" s="837"/>
      <c r="I1" s="838"/>
      <c r="J1" s="838"/>
      <c r="K1" s="838"/>
      <c r="L1" s="837"/>
      <c r="M1" s="837"/>
      <c r="N1" s="837"/>
      <c r="O1" s="837"/>
      <c r="P1" s="837"/>
      <c r="Q1" s="837"/>
      <c r="R1" s="838"/>
      <c r="S1" s="838"/>
      <c r="T1" s="838"/>
      <c r="U1" s="838"/>
      <c r="V1" s="838"/>
      <c r="W1" s="838"/>
      <c r="X1" s="838"/>
      <c r="Y1" s="838"/>
      <c r="Z1" s="838"/>
      <c r="AA1" s="838"/>
      <c r="AB1" s="837"/>
      <c r="AC1" s="837"/>
      <c r="AD1" s="837"/>
      <c r="AE1" s="837"/>
      <c r="AF1" s="837"/>
      <c r="AG1" s="837"/>
      <c r="AH1" s="837"/>
      <c r="AI1" s="837"/>
      <c r="AJ1" s="837"/>
      <c r="AK1" s="837"/>
      <c r="AL1" s="260"/>
    </row>
    <row r="2" spans="1:38" s="30" customFormat="1" ht="12.75">
      <c r="A2" s="835" t="s">
        <v>550</v>
      </c>
      <c r="B2" s="839" t="s">
        <v>2589</v>
      </c>
      <c r="C2" s="839" t="s">
        <v>2590</v>
      </c>
      <c r="D2" s="839" t="s">
        <v>1017</v>
      </c>
      <c r="E2" s="835" t="s">
        <v>2591</v>
      </c>
      <c r="F2" s="834" t="s">
        <v>1018</v>
      </c>
      <c r="G2" s="834" t="s">
        <v>1019</v>
      </c>
      <c r="H2" s="835" t="s">
        <v>1020</v>
      </c>
      <c r="I2" s="834" t="s">
        <v>2592</v>
      </c>
      <c r="J2" s="834"/>
      <c r="K2" s="834"/>
      <c r="L2" s="834"/>
      <c r="M2" s="834"/>
      <c r="N2" s="834"/>
      <c r="O2" s="834"/>
      <c r="P2" s="834"/>
      <c r="Q2" s="834"/>
      <c r="R2" s="834" t="s">
        <v>1021</v>
      </c>
      <c r="S2" s="834"/>
      <c r="T2" s="834"/>
      <c r="U2" s="834"/>
      <c r="V2" s="834"/>
      <c r="W2" s="834"/>
      <c r="X2" s="834" t="s">
        <v>1022</v>
      </c>
      <c r="Y2" s="834"/>
      <c r="Z2" s="834"/>
      <c r="AA2" s="834"/>
      <c r="AB2" s="834" t="s">
        <v>2593</v>
      </c>
      <c r="AC2" s="833" t="s">
        <v>1023</v>
      </c>
      <c r="AD2" s="833"/>
      <c r="AE2" s="833"/>
      <c r="AF2" s="834" t="s">
        <v>2594</v>
      </c>
      <c r="AG2" s="834" t="s">
        <v>551</v>
      </c>
      <c r="AH2" s="834"/>
      <c r="AI2" s="834"/>
      <c r="AJ2" s="834"/>
      <c r="AK2" s="834"/>
      <c r="AL2" s="266"/>
    </row>
    <row r="3" spans="1:38" s="30" customFormat="1" ht="12.75">
      <c r="A3" s="835"/>
      <c r="B3" s="839"/>
      <c r="C3" s="839"/>
      <c r="D3" s="839"/>
      <c r="E3" s="835"/>
      <c r="F3" s="834"/>
      <c r="G3" s="834"/>
      <c r="H3" s="835"/>
      <c r="I3" s="834" t="s">
        <v>1024</v>
      </c>
      <c r="J3" s="834" t="s">
        <v>1025</v>
      </c>
      <c r="K3" s="833" t="s">
        <v>1026</v>
      </c>
      <c r="L3" s="834" t="s">
        <v>2595</v>
      </c>
      <c r="M3" s="834"/>
      <c r="N3" s="834" t="s">
        <v>2596</v>
      </c>
      <c r="O3" s="834"/>
      <c r="P3" s="834" t="s">
        <v>2597</v>
      </c>
      <c r="Q3" s="834"/>
      <c r="R3" s="834"/>
      <c r="S3" s="834"/>
      <c r="T3" s="834"/>
      <c r="U3" s="834"/>
      <c r="V3" s="834"/>
      <c r="W3" s="834"/>
      <c r="X3" s="834"/>
      <c r="Y3" s="834"/>
      <c r="Z3" s="834"/>
      <c r="AA3" s="834"/>
      <c r="AB3" s="834"/>
      <c r="AC3" s="833" t="s">
        <v>2598</v>
      </c>
      <c r="AD3" s="833" t="s">
        <v>2599</v>
      </c>
      <c r="AE3" s="833" t="s">
        <v>1027</v>
      </c>
      <c r="AF3" s="834"/>
      <c r="AG3" s="835" t="s">
        <v>1028</v>
      </c>
      <c r="AH3" s="834" t="s">
        <v>1029</v>
      </c>
      <c r="AI3" s="833" t="s">
        <v>1030</v>
      </c>
      <c r="AJ3" s="833" t="s">
        <v>1031</v>
      </c>
      <c r="AK3" s="833" t="s">
        <v>1032</v>
      </c>
      <c r="AL3" s="266"/>
    </row>
    <row r="4" spans="1:38" s="30" customFormat="1" ht="25.5">
      <c r="A4" s="835"/>
      <c r="B4" s="839"/>
      <c r="C4" s="839"/>
      <c r="D4" s="839"/>
      <c r="E4" s="835"/>
      <c r="F4" s="834"/>
      <c r="G4" s="834"/>
      <c r="H4" s="835"/>
      <c r="I4" s="834"/>
      <c r="J4" s="834"/>
      <c r="K4" s="833"/>
      <c r="L4" s="41" t="s">
        <v>1033</v>
      </c>
      <c r="M4" s="41" t="s">
        <v>1034</v>
      </c>
      <c r="N4" s="41" t="s">
        <v>1033</v>
      </c>
      <c r="O4" s="41" t="s">
        <v>1034</v>
      </c>
      <c r="P4" s="41" t="s">
        <v>1033</v>
      </c>
      <c r="Q4" s="41" t="s">
        <v>1034</v>
      </c>
      <c r="R4" s="41" t="s">
        <v>2600</v>
      </c>
      <c r="S4" s="41" t="s">
        <v>2595</v>
      </c>
      <c r="T4" s="41" t="s">
        <v>2596</v>
      </c>
      <c r="U4" s="41" t="s">
        <v>2597</v>
      </c>
      <c r="V4" s="43" t="s">
        <v>2601</v>
      </c>
      <c r="W4" s="43" t="s">
        <v>2602</v>
      </c>
      <c r="X4" s="42" t="s">
        <v>2603</v>
      </c>
      <c r="Y4" s="42" t="s">
        <v>2604</v>
      </c>
      <c r="Z4" s="41" t="s">
        <v>2605</v>
      </c>
      <c r="AA4" s="41" t="s">
        <v>2606</v>
      </c>
      <c r="AB4" s="834"/>
      <c r="AC4" s="833"/>
      <c r="AD4" s="833"/>
      <c r="AE4" s="833"/>
      <c r="AF4" s="834"/>
      <c r="AG4" s="835"/>
      <c r="AH4" s="834"/>
      <c r="AI4" s="833"/>
      <c r="AJ4" s="833"/>
      <c r="AK4" s="833"/>
      <c r="AL4" s="266"/>
    </row>
    <row r="5" spans="1:38" s="93" customFormat="1" ht="12.75">
      <c r="A5" s="437" t="s">
        <v>1754</v>
      </c>
      <c r="B5" s="641"/>
      <c r="C5" s="641"/>
      <c r="D5" s="641"/>
      <c r="E5" s="642"/>
      <c r="F5" s="110">
        <f>SUM(F6:F27)</f>
        <v>3810</v>
      </c>
      <c r="G5" s="110">
        <f aca="true" t="shared" si="0" ref="G5:AK5">SUM(G6:G27)</f>
        <v>0</v>
      </c>
      <c r="H5" s="110">
        <f t="shared" si="0"/>
        <v>2.0907999999999998</v>
      </c>
      <c r="I5" s="110">
        <f t="shared" si="0"/>
        <v>56478</v>
      </c>
      <c r="J5" s="110">
        <f t="shared" si="0"/>
        <v>13625</v>
      </c>
      <c r="K5" s="110">
        <f t="shared" si="0"/>
        <v>42853</v>
      </c>
      <c r="L5" s="110">
        <f t="shared" si="0"/>
        <v>0</v>
      </c>
      <c r="M5" s="110">
        <f t="shared" si="0"/>
        <v>0</v>
      </c>
      <c r="N5" s="110">
        <f t="shared" si="0"/>
        <v>2700</v>
      </c>
      <c r="O5" s="110">
        <f t="shared" si="0"/>
        <v>145.90800000000002</v>
      </c>
      <c r="P5" s="110">
        <f t="shared" si="0"/>
        <v>53778</v>
      </c>
      <c r="Q5" s="110">
        <f t="shared" si="0"/>
        <v>3378.5407999999993</v>
      </c>
      <c r="R5" s="110">
        <f t="shared" si="0"/>
        <v>19029.95</v>
      </c>
      <c r="S5" s="110">
        <f t="shared" si="0"/>
        <v>0</v>
      </c>
      <c r="T5" s="110">
        <f t="shared" si="0"/>
        <v>540</v>
      </c>
      <c r="U5" s="110">
        <f t="shared" si="0"/>
        <v>13971.710000000001</v>
      </c>
      <c r="V5" s="110">
        <f t="shared" si="0"/>
        <v>2823.9</v>
      </c>
      <c r="W5" s="110">
        <f t="shared" si="0"/>
        <v>1694.34</v>
      </c>
      <c r="X5" s="110">
        <f t="shared" si="0"/>
        <v>5804.684</v>
      </c>
      <c r="Y5" s="110">
        <f t="shared" si="0"/>
        <v>870.7026</v>
      </c>
      <c r="Z5" s="110">
        <f t="shared" si="0"/>
        <v>2031.6393999999998</v>
      </c>
      <c r="AA5" s="110">
        <f t="shared" si="0"/>
        <v>10322.924</v>
      </c>
      <c r="AB5" s="110">
        <f t="shared" si="0"/>
        <v>0</v>
      </c>
      <c r="AC5" s="110">
        <f t="shared" si="0"/>
        <v>0</v>
      </c>
      <c r="AD5" s="110">
        <f t="shared" si="0"/>
        <v>0</v>
      </c>
      <c r="AE5" s="110">
        <f t="shared" si="0"/>
        <v>13026.989000000001</v>
      </c>
      <c r="AF5" s="110">
        <f t="shared" si="0"/>
        <v>0</v>
      </c>
      <c r="AG5" s="110">
        <f t="shared" si="0"/>
        <v>540.0365</v>
      </c>
      <c r="AH5" s="110">
        <f t="shared" si="0"/>
        <v>5246.359799000001</v>
      </c>
      <c r="AI5" s="110">
        <f t="shared" si="0"/>
        <v>415.955</v>
      </c>
      <c r="AJ5" s="110">
        <f t="shared" si="0"/>
        <v>2386.633106</v>
      </c>
      <c r="AK5" s="110">
        <f t="shared" si="0"/>
        <v>25182</v>
      </c>
      <c r="AL5" s="438"/>
    </row>
    <row r="6" spans="1:38" s="44" customFormat="1" ht="15" customHeight="1">
      <c r="A6" s="614" t="s">
        <v>1035</v>
      </c>
      <c r="B6" s="643" t="s">
        <v>751</v>
      </c>
      <c r="C6" s="643" t="s">
        <v>718</v>
      </c>
      <c r="D6" s="643" t="s">
        <v>1054</v>
      </c>
      <c r="E6" s="643" t="s">
        <v>1036</v>
      </c>
      <c r="F6" s="644">
        <v>500</v>
      </c>
      <c r="G6" s="644" t="s">
        <v>1055</v>
      </c>
      <c r="H6" s="645"/>
      <c r="I6" s="646">
        <f>J6+K6</f>
        <v>2674</v>
      </c>
      <c r="J6" s="647">
        <v>2674</v>
      </c>
      <c r="K6" s="644"/>
      <c r="L6" s="644"/>
      <c r="M6" s="646">
        <v>0</v>
      </c>
      <c r="N6" s="646">
        <v>0</v>
      </c>
      <c r="O6" s="646">
        <v>0</v>
      </c>
      <c r="P6" s="646">
        <v>2674</v>
      </c>
      <c r="Q6" s="646">
        <v>157.28467999999998</v>
      </c>
      <c r="R6" s="646">
        <f>S6+T6+U6+V6+W6</f>
        <v>909.1600000000001</v>
      </c>
      <c r="S6" s="646">
        <v>0</v>
      </c>
      <c r="T6" s="646">
        <f>N6*0.2</f>
        <v>0</v>
      </c>
      <c r="U6" s="646">
        <f>P6*0.26</f>
        <v>695.24</v>
      </c>
      <c r="V6" s="644">
        <f>I6*0.05</f>
        <v>133.70000000000002</v>
      </c>
      <c r="W6" s="647">
        <f>I6*0.03</f>
        <v>80.22</v>
      </c>
      <c r="X6" s="646">
        <f>(S6+T6+U6)*0.4</f>
        <v>278.096</v>
      </c>
      <c r="Y6" s="646">
        <f>(S6+T6+U6)*0.2*0.3</f>
        <v>41.7144</v>
      </c>
      <c r="Z6" s="646">
        <f>(S6+T6+U6)*0.2*0.7</f>
        <v>97.33359999999999</v>
      </c>
      <c r="AA6" s="646">
        <f>R6-X6-Y6-Z6</f>
        <v>492.01600000000013</v>
      </c>
      <c r="AB6" s="644" t="s">
        <v>1070</v>
      </c>
      <c r="AC6" s="648" t="s">
        <v>1036</v>
      </c>
      <c r="AD6" s="644" t="s">
        <v>1056</v>
      </c>
      <c r="AE6" s="644">
        <f>(T6+U6)*0.9</f>
        <v>625.716</v>
      </c>
      <c r="AF6" s="657" t="s">
        <v>2632</v>
      </c>
      <c r="AG6" s="442">
        <v>30.751000000000005</v>
      </c>
      <c r="AH6" s="440">
        <v>488.189506</v>
      </c>
      <c r="AI6" s="441">
        <v>40.11</v>
      </c>
      <c r="AJ6" s="441">
        <v>488.189506</v>
      </c>
      <c r="AK6" s="441">
        <v>1600</v>
      </c>
      <c r="AL6" s="45">
        <v>1</v>
      </c>
    </row>
    <row r="7" spans="1:38" s="44" customFormat="1" ht="15" customHeight="1">
      <c r="A7" s="439" t="s">
        <v>1037</v>
      </c>
      <c r="B7" s="643" t="s">
        <v>751</v>
      </c>
      <c r="C7" s="643" t="s">
        <v>718</v>
      </c>
      <c r="D7" s="643" t="s">
        <v>729</v>
      </c>
      <c r="E7" s="643" t="s">
        <v>1038</v>
      </c>
      <c r="F7" s="644">
        <v>220</v>
      </c>
      <c r="G7" s="644" t="s">
        <v>1055</v>
      </c>
      <c r="H7" s="645"/>
      <c r="I7" s="646">
        <f aca="true" t="shared" si="1" ref="I7:I27">J7+K7</f>
        <v>1100</v>
      </c>
      <c r="J7" s="647">
        <v>1100</v>
      </c>
      <c r="K7" s="644"/>
      <c r="L7" s="644"/>
      <c r="M7" s="646">
        <v>0</v>
      </c>
      <c r="N7" s="646">
        <v>0</v>
      </c>
      <c r="O7" s="646">
        <v>0</v>
      </c>
      <c r="P7" s="646">
        <v>1100</v>
      </c>
      <c r="Q7" s="646">
        <v>64.702</v>
      </c>
      <c r="R7" s="646">
        <f aca="true" t="shared" si="2" ref="R7:R27">S7+T7+U7+V7+W7</f>
        <v>374</v>
      </c>
      <c r="S7" s="646">
        <v>0</v>
      </c>
      <c r="T7" s="646">
        <f aca="true" t="shared" si="3" ref="T7:T27">N7*0.2</f>
        <v>0</v>
      </c>
      <c r="U7" s="646">
        <f aca="true" t="shared" si="4" ref="U7:U27">P7*0.26</f>
        <v>286</v>
      </c>
      <c r="V7" s="644">
        <f aca="true" t="shared" si="5" ref="V7:V27">I7*0.05</f>
        <v>55</v>
      </c>
      <c r="W7" s="647">
        <f aca="true" t="shared" si="6" ref="W7:W27">I7*0.03</f>
        <v>33</v>
      </c>
      <c r="X7" s="646">
        <f aca="true" t="shared" si="7" ref="X7:X27">(S7+T7+U7)*0.4</f>
        <v>114.4</v>
      </c>
      <c r="Y7" s="646">
        <f aca="true" t="shared" si="8" ref="Y7:Y27">(S7+T7+U7)*0.2*0.3</f>
        <v>17.16</v>
      </c>
      <c r="Z7" s="646">
        <f aca="true" t="shared" si="9" ref="Z7:Z27">(S7+T7+U7)*0.2*0.7</f>
        <v>40.04</v>
      </c>
      <c r="AA7" s="646">
        <f aca="true" t="shared" si="10" ref="AA7:AA27">R7-X7-Y7-Z7</f>
        <v>202.40000000000003</v>
      </c>
      <c r="AB7" s="644" t="s">
        <v>1057</v>
      </c>
      <c r="AC7" s="648" t="s">
        <v>1038</v>
      </c>
      <c r="AD7" s="644" t="s">
        <v>1056</v>
      </c>
      <c r="AE7" s="644">
        <f aca="true" t="shared" si="11" ref="AE7:AE27">(T7+U7)*0.9</f>
        <v>257.40000000000003</v>
      </c>
      <c r="AF7" s="644" t="s">
        <v>1058</v>
      </c>
      <c r="AG7" s="442">
        <v>12.65</v>
      </c>
      <c r="AH7" s="440">
        <v>255.15</v>
      </c>
      <c r="AI7" s="441">
        <v>16.5</v>
      </c>
      <c r="AJ7" s="441">
        <v>255.15</v>
      </c>
      <c r="AK7" s="440">
        <v>1115</v>
      </c>
      <c r="AL7" s="45">
        <v>2</v>
      </c>
    </row>
    <row r="8" spans="1:38" s="44" customFormat="1" ht="15" customHeight="1">
      <c r="A8" s="439" t="s">
        <v>1039</v>
      </c>
      <c r="B8" s="643" t="s">
        <v>751</v>
      </c>
      <c r="C8" s="643" t="s">
        <v>718</v>
      </c>
      <c r="D8" s="643" t="s">
        <v>729</v>
      </c>
      <c r="E8" s="643" t="s">
        <v>1040</v>
      </c>
      <c r="F8" s="644">
        <v>260</v>
      </c>
      <c r="G8" s="644" t="s">
        <v>1055</v>
      </c>
      <c r="H8" s="645"/>
      <c r="I8" s="646">
        <f t="shared" si="1"/>
        <v>1086</v>
      </c>
      <c r="J8" s="647">
        <v>1086</v>
      </c>
      <c r="K8" s="644"/>
      <c r="L8" s="644"/>
      <c r="M8" s="646">
        <v>0</v>
      </c>
      <c r="N8" s="646">
        <v>0</v>
      </c>
      <c r="O8" s="646">
        <v>0</v>
      </c>
      <c r="P8" s="646">
        <v>1086</v>
      </c>
      <c r="Q8" s="646">
        <v>63.878519999999995</v>
      </c>
      <c r="R8" s="646">
        <f t="shared" si="2"/>
        <v>369.24</v>
      </c>
      <c r="S8" s="646">
        <v>0</v>
      </c>
      <c r="T8" s="646">
        <f t="shared" si="3"/>
        <v>0</v>
      </c>
      <c r="U8" s="646">
        <f t="shared" si="4"/>
        <v>282.36</v>
      </c>
      <c r="V8" s="644">
        <f t="shared" si="5"/>
        <v>54.300000000000004</v>
      </c>
      <c r="W8" s="647">
        <f t="shared" si="6"/>
        <v>32.58</v>
      </c>
      <c r="X8" s="646">
        <f t="shared" si="7"/>
        <v>112.94400000000002</v>
      </c>
      <c r="Y8" s="646">
        <f t="shared" si="8"/>
        <v>16.9416</v>
      </c>
      <c r="Z8" s="646">
        <f t="shared" si="9"/>
        <v>39.5304</v>
      </c>
      <c r="AA8" s="646">
        <f t="shared" si="10"/>
        <v>199.824</v>
      </c>
      <c r="AB8" s="644" t="s">
        <v>1057</v>
      </c>
      <c r="AC8" s="648" t="s">
        <v>1040</v>
      </c>
      <c r="AD8" s="644" t="s">
        <v>1056</v>
      </c>
      <c r="AE8" s="644">
        <f t="shared" si="11"/>
        <v>254.12400000000002</v>
      </c>
      <c r="AF8" s="644" t="s">
        <v>1058</v>
      </c>
      <c r="AG8" s="442">
        <v>12.489</v>
      </c>
      <c r="AH8" s="440">
        <v>252</v>
      </c>
      <c r="AI8" s="441">
        <v>16.29</v>
      </c>
      <c r="AJ8" s="441">
        <v>252</v>
      </c>
      <c r="AK8" s="440">
        <v>1188</v>
      </c>
      <c r="AL8" s="45">
        <v>3</v>
      </c>
    </row>
    <row r="9" spans="1:38" s="68" customFormat="1" ht="15" customHeight="1">
      <c r="A9" s="614" t="s">
        <v>1059</v>
      </c>
      <c r="B9" s="643" t="s">
        <v>751</v>
      </c>
      <c r="C9" s="643" t="s">
        <v>718</v>
      </c>
      <c r="D9" s="643" t="s">
        <v>1060</v>
      </c>
      <c r="E9" s="643" t="s">
        <v>1041</v>
      </c>
      <c r="F9" s="644">
        <v>280</v>
      </c>
      <c r="G9" s="644" t="s">
        <v>1055</v>
      </c>
      <c r="H9" s="645"/>
      <c r="I9" s="646">
        <f t="shared" si="1"/>
        <v>1050</v>
      </c>
      <c r="J9" s="647">
        <v>1050</v>
      </c>
      <c r="K9" s="644"/>
      <c r="L9" s="644"/>
      <c r="M9" s="646">
        <v>0</v>
      </c>
      <c r="N9" s="646">
        <v>0</v>
      </c>
      <c r="O9" s="646">
        <v>0</v>
      </c>
      <c r="P9" s="646">
        <v>1050</v>
      </c>
      <c r="Q9" s="646">
        <v>61.760999999999996</v>
      </c>
      <c r="R9" s="646">
        <f t="shared" si="2"/>
        <v>357</v>
      </c>
      <c r="S9" s="646">
        <v>0</v>
      </c>
      <c r="T9" s="646">
        <f t="shared" si="3"/>
        <v>0</v>
      </c>
      <c r="U9" s="646">
        <f t="shared" si="4"/>
        <v>273</v>
      </c>
      <c r="V9" s="644">
        <f t="shared" si="5"/>
        <v>52.5</v>
      </c>
      <c r="W9" s="647">
        <f t="shared" si="6"/>
        <v>31.5</v>
      </c>
      <c r="X9" s="646">
        <f t="shared" si="7"/>
        <v>109.2</v>
      </c>
      <c r="Y9" s="646">
        <f t="shared" si="8"/>
        <v>16.38</v>
      </c>
      <c r="Z9" s="646">
        <f t="shared" si="9"/>
        <v>38.22</v>
      </c>
      <c r="AA9" s="646">
        <f t="shared" si="10"/>
        <v>193.20000000000002</v>
      </c>
      <c r="AB9" s="644" t="s">
        <v>1057</v>
      </c>
      <c r="AC9" s="648" t="s">
        <v>1041</v>
      </c>
      <c r="AD9" s="644" t="s">
        <v>1056</v>
      </c>
      <c r="AE9" s="644">
        <f t="shared" si="11"/>
        <v>245.70000000000002</v>
      </c>
      <c r="AF9" s="644" t="s">
        <v>2607</v>
      </c>
      <c r="AG9" s="442">
        <v>12.075</v>
      </c>
      <c r="AH9" s="440">
        <v>225</v>
      </c>
      <c r="AI9" s="441">
        <v>15.75</v>
      </c>
      <c r="AJ9" s="441">
        <v>225</v>
      </c>
      <c r="AK9" s="440">
        <v>1276</v>
      </c>
      <c r="AL9" s="45">
        <v>4</v>
      </c>
    </row>
    <row r="10" spans="1:38" s="618" customFormat="1" ht="15" customHeight="1">
      <c r="A10" s="614" t="s">
        <v>2565</v>
      </c>
      <c r="B10" s="643" t="s">
        <v>751</v>
      </c>
      <c r="C10" s="643" t="s">
        <v>718</v>
      </c>
      <c r="D10" s="643" t="s">
        <v>1060</v>
      </c>
      <c r="E10" s="643" t="s">
        <v>2608</v>
      </c>
      <c r="F10" s="644"/>
      <c r="G10" s="644" t="s">
        <v>1055</v>
      </c>
      <c r="H10" s="645">
        <v>0.25</v>
      </c>
      <c r="I10" s="646">
        <f t="shared" si="1"/>
        <v>5030</v>
      </c>
      <c r="J10" s="644"/>
      <c r="K10" s="646">
        <v>5030</v>
      </c>
      <c r="L10" s="644">
        <v>0</v>
      </c>
      <c r="M10" s="646">
        <v>0</v>
      </c>
      <c r="N10" s="646">
        <v>0</v>
      </c>
      <c r="O10" s="646">
        <v>0</v>
      </c>
      <c r="P10" s="646">
        <v>5030</v>
      </c>
      <c r="Q10" s="646">
        <v>287</v>
      </c>
      <c r="R10" s="646">
        <f t="shared" si="2"/>
        <v>1710.2</v>
      </c>
      <c r="S10" s="646">
        <v>0</v>
      </c>
      <c r="T10" s="646">
        <f t="shared" si="3"/>
        <v>0</v>
      </c>
      <c r="U10" s="646">
        <f t="shared" si="4"/>
        <v>1307.8</v>
      </c>
      <c r="V10" s="644">
        <f t="shared" si="5"/>
        <v>251.5</v>
      </c>
      <c r="W10" s="647">
        <f t="shared" si="6"/>
        <v>150.9</v>
      </c>
      <c r="X10" s="646">
        <f t="shared" si="7"/>
        <v>523.12</v>
      </c>
      <c r="Y10" s="646">
        <f t="shared" si="8"/>
        <v>78.468</v>
      </c>
      <c r="Z10" s="646">
        <f t="shared" si="9"/>
        <v>183.09199999999998</v>
      </c>
      <c r="AA10" s="646">
        <f t="shared" si="10"/>
        <v>925.5199999999999</v>
      </c>
      <c r="AB10" s="644" t="s">
        <v>1061</v>
      </c>
      <c r="AC10" s="643" t="s">
        <v>2608</v>
      </c>
      <c r="AD10" s="644"/>
      <c r="AE10" s="644">
        <f t="shared" si="11"/>
        <v>1177.02</v>
      </c>
      <c r="AF10" s="644" t="s">
        <v>1062</v>
      </c>
      <c r="AG10" s="617">
        <v>33.936499999999995</v>
      </c>
      <c r="AH10" s="615">
        <v>327.687893</v>
      </c>
      <c r="AI10" s="616">
        <v>14.755</v>
      </c>
      <c r="AJ10" s="615"/>
      <c r="AK10" s="616">
        <v>1300</v>
      </c>
      <c r="AL10" s="45">
        <v>5</v>
      </c>
    </row>
    <row r="11" spans="1:38" s="68" customFormat="1" ht="15" customHeight="1">
      <c r="A11" s="614" t="s">
        <v>1042</v>
      </c>
      <c r="B11" s="643" t="s">
        <v>751</v>
      </c>
      <c r="C11" s="643" t="s">
        <v>718</v>
      </c>
      <c r="D11" s="643" t="s">
        <v>1060</v>
      </c>
      <c r="E11" s="643" t="s">
        <v>1043</v>
      </c>
      <c r="F11" s="644">
        <v>1000</v>
      </c>
      <c r="G11" s="644" t="s">
        <v>1055</v>
      </c>
      <c r="H11" s="645"/>
      <c r="I11" s="646">
        <f t="shared" si="1"/>
        <v>1200</v>
      </c>
      <c r="J11" s="647">
        <v>1200</v>
      </c>
      <c r="K11" s="644"/>
      <c r="L11" s="644"/>
      <c r="M11" s="646">
        <v>0</v>
      </c>
      <c r="N11" s="646">
        <v>0</v>
      </c>
      <c r="O11" s="646">
        <v>0</v>
      </c>
      <c r="P11" s="646">
        <v>1200</v>
      </c>
      <c r="Q11" s="646">
        <v>70.584</v>
      </c>
      <c r="R11" s="646">
        <f t="shared" si="2"/>
        <v>408</v>
      </c>
      <c r="S11" s="646">
        <v>0</v>
      </c>
      <c r="T11" s="646">
        <f t="shared" si="3"/>
        <v>0</v>
      </c>
      <c r="U11" s="646">
        <f t="shared" si="4"/>
        <v>312</v>
      </c>
      <c r="V11" s="644">
        <f t="shared" si="5"/>
        <v>60</v>
      </c>
      <c r="W11" s="647">
        <f t="shared" si="6"/>
        <v>36</v>
      </c>
      <c r="X11" s="646">
        <f t="shared" si="7"/>
        <v>124.80000000000001</v>
      </c>
      <c r="Y11" s="646">
        <f t="shared" si="8"/>
        <v>18.720000000000002</v>
      </c>
      <c r="Z11" s="646">
        <f t="shared" si="9"/>
        <v>43.68</v>
      </c>
      <c r="AA11" s="646">
        <f t="shared" si="10"/>
        <v>220.79999999999995</v>
      </c>
      <c r="AB11" s="644" t="s">
        <v>1057</v>
      </c>
      <c r="AC11" s="648" t="s">
        <v>1043</v>
      </c>
      <c r="AD11" s="644" t="s">
        <v>1056</v>
      </c>
      <c r="AE11" s="644">
        <f t="shared" si="11"/>
        <v>280.8</v>
      </c>
      <c r="AF11" s="644" t="s">
        <v>1063</v>
      </c>
      <c r="AG11" s="442">
        <v>13.799999999999999</v>
      </c>
      <c r="AH11" s="440">
        <v>341.4936</v>
      </c>
      <c r="AI11" s="441">
        <v>18</v>
      </c>
      <c r="AJ11" s="441">
        <v>341.4936</v>
      </c>
      <c r="AK11" s="440">
        <v>1256</v>
      </c>
      <c r="AL11" s="45">
        <v>6</v>
      </c>
    </row>
    <row r="12" spans="1:38" s="44" customFormat="1" ht="15" customHeight="1">
      <c r="A12" s="439" t="s">
        <v>1044</v>
      </c>
      <c r="B12" s="643" t="s">
        <v>751</v>
      </c>
      <c r="C12" s="643" t="s">
        <v>718</v>
      </c>
      <c r="D12" s="643" t="s">
        <v>1064</v>
      </c>
      <c r="E12" s="643" t="s">
        <v>1045</v>
      </c>
      <c r="F12" s="644">
        <v>350</v>
      </c>
      <c r="G12" s="644" t="s">
        <v>1055</v>
      </c>
      <c r="H12" s="645"/>
      <c r="I12" s="646">
        <f t="shared" si="1"/>
        <v>2000</v>
      </c>
      <c r="J12" s="647">
        <v>2000</v>
      </c>
      <c r="K12" s="644"/>
      <c r="L12" s="644"/>
      <c r="M12" s="646">
        <v>0</v>
      </c>
      <c r="N12" s="646">
        <v>0</v>
      </c>
      <c r="O12" s="646">
        <v>0</v>
      </c>
      <c r="P12" s="646">
        <v>2000</v>
      </c>
      <c r="Q12" s="646">
        <v>117.64</v>
      </c>
      <c r="R12" s="646">
        <f t="shared" si="2"/>
        <v>680</v>
      </c>
      <c r="S12" s="646">
        <v>0</v>
      </c>
      <c r="T12" s="646">
        <f t="shared" si="3"/>
        <v>0</v>
      </c>
      <c r="U12" s="646">
        <f t="shared" si="4"/>
        <v>520</v>
      </c>
      <c r="V12" s="644">
        <f t="shared" si="5"/>
        <v>100</v>
      </c>
      <c r="W12" s="647">
        <f t="shared" si="6"/>
        <v>60</v>
      </c>
      <c r="X12" s="646">
        <f t="shared" si="7"/>
        <v>208</v>
      </c>
      <c r="Y12" s="646">
        <f t="shared" si="8"/>
        <v>31.2</v>
      </c>
      <c r="Z12" s="646">
        <f t="shared" si="9"/>
        <v>72.8</v>
      </c>
      <c r="AA12" s="646">
        <f t="shared" si="10"/>
        <v>368</v>
      </c>
      <c r="AB12" s="644" t="s">
        <v>1070</v>
      </c>
      <c r="AC12" s="648" t="s">
        <v>1045</v>
      </c>
      <c r="AD12" s="644" t="s">
        <v>1056</v>
      </c>
      <c r="AE12" s="644">
        <f t="shared" si="11"/>
        <v>468</v>
      </c>
      <c r="AF12" s="644" t="s">
        <v>1065</v>
      </c>
      <c r="AG12" s="442">
        <v>23</v>
      </c>
      <c r="AH12" s="441">
        <v>200</v>
      </c>
      <c r="AI12" s="441">
        <v>30</v>
      </c>
      <c r="AJ12" s="441">
        <v>200</v>
      </c>
      <c r="AK12" s="440">
        <v>1424</v>
      </c>
      <c r="AL12" s="45">
        <v>7</v>
      </c>
    </row>
    <row r="13" spans="1:38" s="44" customFormat="1" ht="15" customHeight="1">
      <c r="A13" s="653" t="s">
        <v>2585</v>
      </c>
      <c r="B13" s="643" t="s">
        <v>751</v>
      </c>
      <c r="C13" s="643" t="s">
        <v>718</v>
      </c>
      <c r="D13" s="643" t="s">
        <v>1064</v>
      </c>
      <c r="E13" s="643"/>
      <c r="F13" s="644"/>
      <c r="G13" s="644"/>
      <c r="H13" s="645"/>
      <c r="I13" s="646">
        <f t="shared" si="1"/>
        <v>3235</v>
      </c>
      <c r="J13" s="647"/>
      <c r="K13" s="644">
        <v>3235</v>
      </c>
      <c r="L13" s="644"/>
      <c r="M13" s="646"/>
      <c r="N13" s="646"/>
      <c r="O13" s="646"/>
      <c r="P13" s="646">
        <f>K13</f>
        <v>3235</v>
      </c>
      <c r="Q13" s="646">
        <v>287</v>
      </c>
      <c r="R13" s="646">
        <f t="shared" si="2"/>
        <v>1099.9</v>
      </c>
      <c r="S13" s="646"/>
      <c r="T13" s="646"/>
      <c r="U13" s="646">
        <f>P13*0.26</f>
        <v>841.1</v>
      </c>
      <c r="V13" s="644">
        <f>I13*0.05</f>
        <v>161.75</v>
      </c>
      <c r="W13" s="647">
        <f>I13*0.03</f>
        <v>97.05</v>
      </c>
      <c r="X13" s="646">
        <f>(S13+T13+U13)*0.4</f>
        <v>336.44000000000005</v>
      </c>
      <c r="Y13" s="646">
        <f>(S13+T13+U13)*0.2*0.3</f>
        <v>50.46600000000001</v>
      </c>
      <c r="Z13" s="646">
        <f>(S13+T13+U13)*0.2*0.7</f>
        <v>117.754</v>
      </c>
      <c r="AA13" s="646">
        <f>R13-X13-Y13-Z13</f>
        <v>595.24</v>
      </c>
      <c r="AB13" s="644" t="s">
        <v>1061</v>
      </c>
      <c r="AC13" s="648"/>
      <c r="AD13" s="644"/>
      <c r="AE13" s="644">
        <f t="shared" si="11"/>
        <v>756.99</v>
      </c>
      <c r="AF13" s="644" t="s">
        <v>2609</v>
      </c>
      <c r="AG13" s="442"/>
      <c r="AH13" s="441"/>
      <c r="AI13" s="441"/>
      <c r="AJ13" s="441"/>
      <c r="AK13" s="440"/>
      <c r="AL13" s="45"/>
    </row>
    <row r="14" spans="1:38" s="44" customFormat="1" ht="15" customHeight="1">
      <c r="A14" s="614" t="s">
        <v>552</v>
      </c>
      <c r="B14" s="643" t="s">
        <v>751</v>
      </c>
      <c r="C14" s="643" t="s">
        <v>718</v>
      </c>
      <c r="D14" s="643" t="s">
        <v>1054</v>
      </c>
      <c r="E14" s="643" t="s">
        <v>2610</v>
      </c>
      <c r="F14" s="644"/>
      <c r="G14" s="644" t="s">
        <v>1055</v>
      </c>
      <c r="H14" s="645">
        <v>0.1588</v>
      </c>
      <c r="I14" s="646">
        <f t="shared" si="1"/>
        <v>1008</v>
      </c>
      <c r="J14" s="644"/>
      <c r="K14" s="646">
        <v>1008</v>
      </c>
      <c r="L14" s="644">
        <v>0</v>
      </c>
      <c r="M14" s="646">
        <v>0</v>
      </c>
      <c r="N14" s="646">
        <v>0</v>
      </c>
      <c r="O14" s="646">
        <v>0</v>
      </c>
      <c r="P14" s="646">
        <f>K14</f>
        <v>1008</v>
      </c>
      <c r="Q14" s="646">
        <v>123.546</v>
      </c>
      <c r="R14" s="646">
        <f t="shared" si="2"/>
        <v>332.15</v>
      </c>
      <c r="S14" s="646">
        <v>0</v>
      </c>
      <c r="T14" s="646">
        <f t="shared" si="3"/>
        <v>0</v>
      </c>
      <c r="U14" s="646">
        <v>251.51</v>
      </c>
      <c r="V14" s="644">
        <f t="shared" si="5"/>
        <v>50.400000000000006</v>
      </c>
      <c r="W14" s="647">
        <f t="shared" si="6"/>
        <v>30.24</v>
      </c>
      <c r="X14" s="646">
        <f t="shared" si="7"/>
        <v>100.604</v>
      </c>
      <c r="Y14" s="646">
        <f t="shared" si="8"/>
        <v>15.090599999999998</v>
      </c>
      <c r="Z14" s="646">
        <f t="shared" si="9"/>
        <v>35.2114</v>
      </c>
      <c r="AA14" s="646">
        <f t="shared" si="10"/>
        <v>181.244</v>
      </c>
      <c r="AB14" s="644" t="s">
        <v>1061</v>
      </c>
      <c r="AC14" s="648">
        <v>0</v>
      </c>
      <c r="AD14" s="644"/>
      <c r="AE14" s="644">
        <f t="shared" si="11"/>
        <v>226.359</v>
      </c>
      <c r="AF14" s="644" t="s">
        <v>1046</v>
      </c>
      <c r="AG14" s="442">
        <v>13.799999999999999</v>
      </c>
      <c r="AH14" s="440">
        <v>296.574</v>
      </c>
      <c r="AI14" s="441">
        <v>6</v>
      </c>
      <c r="AJ14" s="440"/>
      <c r="AK14" s="441">
        <v>1300</v>
      </c>
      <c r="AL14" s="45">
        <v>8</v>
      </c>
    </row>
    <row r="15" spans="1:38" s="255" customFormat="1" ht="15" customHeight="1">
      <c r="A15" s="614" t="s">
        <v>553</v>
      </c>
      <c r="B15" s="643" t="s">
        <v>751</v>
      </c>
      <c r="C15" s="643" t="s">
        <v>718</v>
      </c>
      <c r="D15" s="643" t="s">
        <v>1054</v>
      </c>
      <c r="E15" s="643" t="s">
        <v>2611</v>
      </c>
      <c r="F15" s="644">
        <v>250</v>
      </c>
      <c r="G15" s="644" t="s">
        <v>1055</v>
      </c>
      <c r="H15" s="645">
        <v>0.12</v>
      </c>
      <c r="I15" s="646">
        <f>J15+K15</f>
        <v>1105</v>
      </c>
      <c r="J15" s="644">
        <v>1105</v>
      </c>
      <c r="K15" s="646"/>
      <c r="L15" s="644">
        <v>0</v>
      </c>
      <c r="M15" s="646">
        <v>0</v>
      </c>
      <c r="N15" s="646">
        <v>0</v>
      </c>
      <c r="O15" s="646">
        <v>0</v>
      </c>
      <c r="P15" s="646">
        <f>J15</f>
        <v>1105</v>
      </c>
      <c r="Q15" s="646">
        <v>129</v>
      </c>
      <c r="R15" s="646">
        <f t="shared" si="2"/>
        <v>375.7</v>
      </c>
      <c r="S15" s="646">
        <v>0</v>
      </c>
      <c r="T15" s="646">
        <f t="shared" si="3"/>
        <v>0</v>
      </c>
      <c r="U15" s="646">
        <f t="shared" si="4"/>
        <v>287.3</v>
      </c>
      <c r="V15" s="644">
        <f t="shared" si="5"/>
        <v>55.25</v>
      </c>
      <c r="W15" s="647">
        <f t="shared" si="6"/>
        <v>33.15</v>
      </c>
      <c r="X15" s="646">
        <f>(S15+T15+U15)*0.4</f>
        <v>114.92000000000002</v>
      </c>
      <c r="Y15" s="646">
        <f>(S15+T15+U15)*0.2*0.3</f>
        <v>17.238000000000003</v>
      </c>
      <c r="Z15" s="646">
        <f>(S15+T15+U15)*0.2*0.7</f>
        <v>40.222</v>
      </c>
      <c r="AA15" s="646">
        <f>R15-X15-Y15-Z15</f>
        <v>203.31999999999996</v>
      </c>
      <c r="AB15" s="644" t="s">
        <v>1057</v>
      </c>
      <c r="AC15" s="648">
        <v>0</v>
      </c>
      <c r="AD15" s="644"/>
      <c r="AE15" s="644">
        <v>225.02</v>
      </c>
      <c r="AF15" s="644" t="s">
        <v>2612</v>
      </c>
      <c r="AG15" s="442"/>
      <c r="AH15" s="440"/>
      <c r="AI15" s="441"/>
      <c r="AJ15" s="440"/>
      <c r="AK15" s="441"/>
      <c r="AL15" s="45">
        <v>9</v>
      </c>
    </row>
    <row r="16" spans="1:38" s="44" customFormat="1" ht="15" customHeight="1">
      <c r="A16" s="439" t="s">
        <v>1047</v>
      </c>
      <c r="B16" s="643" t="s">
        <v>751</v>
      </c>
      <c r="C16" s="643" t="s">
        <v>718</v>
      </c>
      <c r="D16" s="643" t="s">
        <v>1066</v>
      </c>
      <c r="E16" s="643"/>
      <c r="F16" s="644"/>
      <c r="G16" s="644"/>
      <c r="H16" s="645">
        <v>0.2124</v>
      </c>
      <c r="I16" s="646">
        <f t="shared" si="1"/>
        <v>1080</v>
      </c>
      <c r="J16" s="644"/>
      <c r="K16" s="646">
        <v>1080</v>
      </c>
      <c r="L16" s="644">
        <v>0</v>
      </c>
      <c r="M16" s="646">
        <v>0</v>
      </c>
      <c r="N16" s="646">
        <v>0</v>
      </c>
      <c r="O16" s="646">
        <v>0</v>
      </c>
      <c r="P16" s="646">
        <v>1080</v>
      </c>
      <c r="Q16" s="646">
        <v>63.5256</v>
      </c>
      <c r="R16" s="646">
        <f t="shared" si="2"/>
        <v>367.2</v>
      </c>
      <c r="S16" s="646">
        <v>0</v>
      </c>
      <c r="T16" s="646">
        <f t="shared" si="3"/>
        <v>0</v>
      </c>
      <c r="U16" s="646">
        <f t="shared" si="4"/>
        <v>280.8</v>
      </c>
      <c r="V16" s="644">
        <f t="shared" si="5"/>
        <v>54</v>
      </c>
      <c r="W16" s="647">
        <f t="shared" si="6"/>
        <v>32.4</v>
      </c>
      <c r="X16" s="646">
        <f t="shared" si="7"/>
        <v>112.32000000000001</v>
      </c>
      <c r="Y16" s="646">
        <f t="shared" si="8"/>
        <v>16.848</v>
      </c>
      <c r="Z16" s="646">
        <f t="shared" si="9"/>
        <v>39.312</v>
      </c>
      <c r="AA16" s="646">
        <f t="shared" si="10"/>
        <v>198.71999999999997</v>
      </c>
      <c r="AB16" s="644" t="s">
        <v>1061</v>
      </c>
      <c r="AC16" s="648">
        <v>0</v>
      </c>
      <c r="AD16" s="644"/>
      <c r="AE16" s="644">
        <f t="shared" si="11"/>
        <v>252.72000000000003</v>
      </c>
      <c r="AF16" s="644" t="s">
        <v>1052</v>
      </c>
      <c r="AG16" s="442">
        <v>12.42</v>
      </c>
      <c r="AH16" s="440">
        <v>267.3648</v>
      </c>
      <c r="AI16" s="441">
        <v>5.4</v>
      </c>
      <c r="AJ16" s="440"/>
      <c r="AK16" s="441">
        <v>1300</v>
      </c>
      <c r="AL16" s="45">
        <v>10</v>
      </c>
    </row>
    <row r="17" spans="1:38" s="44" customFormat="1" ht="15" customHeight="1">
      <c r="A17" s="439" t="s">
        <v>1067</v>
      </c>
      <c r="B17" s="643" t="s">
        <v>751</v>
      </c>
      <c r="C17" s="643" t="s">
        <v>718</v>
      </c>
      <c r="D17" s="643" t="s">
        <v>1068</v>
      </c>
      <c r="E17" s="643" t="s">
        <v>1048</v>
      </c>
      <c r="F17" s="644">
        <v>300</v>
      </c>
      <c r="G17" s="644"/>
      <c r="H17" s="645"/>
      <c r="I17" s="646">
        <f t="shared" si="1"/>
        <v>2400</v>
      </c>
      <c r="J17" s="647">
        <v>2400</v>
      </c>
      <c r="K17" s="644"/>
      <c r="L17" s="644"/>
      <c r="M17" s="646">
        <v>0</v>
      </c>
      <c r="N17" s="646">
        <v>1200</v>
      </c>
      <c r="O17" s="646">
        <v>64.848</v>
      </c>
      <c r="P17" s="646">
        <v>1200</v>
      </c>
      <c r="Q17" s="646">
        <v>70.584</v>
      </c>
      <c r="R17" s="646">
        <f t="shared" si="2"/>
        <v>744</v>
      </c>
      <c r="S17" s="646">
        <v>0</v>
      </c>
      <c r="T17" s="646">
        <f t="shared" si="3"/>
        <v>240</v>
      </c>
      <c r="U17" s="646">
        <f t="shared" si="4"/>
        <v>312</v>
      </c>
      <c r="V17" s="644">
        <f t="shared" si="5"/>
        <v>120</v>
      </c>
      <c r="W17" s="647">
        <f t="shared" si="6"/>
        <v>72</v>
      </c>
      <c r="X17" s="646">
        <f t="shared" si="7"/>
        <v>220.8</v>
      </c>
      <c r="Y17" s="646">
        <f t="shared" si="8"/>
        <v>33.12</v>
      </c>
      <c r="Z17" s="646">
        <f t="shared" si="9"/>
        <v>77.28</v>
      </c>
      <c r="AA17" s="646">
        <f t="shared" si="10"/>
        <v>412.80000000000007</v>
      </c>
      <c r="AB17" s="644" t="s">
        <v>1070</v>
      </c>
      <c r="AC17" s="648" t="s">
        <v>1048</v>
      </c>
      <c r="AD17" s="644" t="s">
        <v>1056</v>
      </c>
      <c r="AE17" s="644">
        <f t="shared" si="11"/>
        <v>496.8</v>
      </c>
      <c r="AF17" s="644" t="s">
        <v>1069</v>
      </c>
      <c r="AG17" s="442">
        <v>27.599999999999998</v>
      </c>
      <c r="AH17" s="440">
        <v>243</v>
      </c>
      <c r="AI17" s="441">
        <v>36</v>
      </c>
      <c r="AJ17" s="441">
        <v>243</v>
      </c>
      <c r="AK17" s="440">
        <v>1189</v>
      </c>
      <c r="AL17" s="45">
        <v>11</v>
      </c>
    </row>
    <row r="18" spans="1:38" s="45" customFormat="1" ht="15" customHeight="1">
      <c r="A18" s="654" t="s">
        <v>1049</v>
      </c>
      <c r="B18" s="643" t="s">
        <v>751</v>
      </c>
      <c r="C18" s="643" t="s">
        <v>718</v>
      </c>
      <c r="D18" s="643" t="s">
        <v>1050</v>
      </c>
      <c r="E18" s="643" t="s">
        <v>1051</v>
      </c>
      <c r="F18" s="644">
        <v>350</v>
      </c>
      <c r="G18" s="644" t="s">
        <v>1055</v>
      </c>
      <c r="H18" s="645">
        <v>0.13</v>
      </c>
      <c r="I18" s="646">
        <f t="shared" si="1"/>
        <v>1700</v>
      </c>
      <c r="J18" s="649"/>
      <c r="K18" s="646">
        <v>1700</v>
      </c>
      <c r="L18" s="649"/>
      <c r="M18" s="649"/>
      <c r="N18" s="649"/>
      <c r="O18" s="649"/>
      <c r="P18" s="646">
        <v>1700</v>
      </c>
      <c r="Q18" s="646">
        <v>99.994</v>
      </c>
      <c r="R18" s="646">
        <f t="shared" si="2"/>
        <v>578</v>
      </c>
      <c r="S18" s="649"/>
      <c r="T18" s="646">
        <f t="shared" si="3"/>
        <v>0</v>
      </c>
      <c r="U18" s="646">
        <f t="shared" si="4"/>
        <v>442</v>
      </c>
      <c r="V18" s="644">
        <f t="shared" si="5"/>
        <v>85</v>
      </c>
      <c r="W18" s="647">
        <f t="shared" si="6"/>
        <v>51</v>
      </c>
      <c r="X18" s="646">
        <f t="shared" si="7"/>
        <v>176.8</v>
      </c>
      <c r="Y18" s="646">
        <f t="shared" si="8"/>
        <v>26.52</v>
      </c>
      <c r="Z18" s="646">
        <f t="shared" si="9"/>
        <v>61.88</v>
      </c>
      <c r="AA18" s="646">
        <f t="shared" si="10"/>
        <v>312.8</v>
      </c>
      <c r="AB18" s="644" t="s">
        <v>1070</v>
      </c>
      <c r="AC18" s="643" t="s">
        <v>1051</v>
      </c>
      <c r="AD18" s="649"/>
      <c r="AE18" s="644">
        <f t="shared" si="11"/>
        <v>397.8</v>
      </c>
      <c r="AF18" s="644" t="s">
        <v>1052</v>
      </c>
      <c r="AG18" s="442">
        <v>19.55</v>
      </c>
      <c r="AH18" s="440">
        <v>200</v>
      </c>
      <c r="AI18" s="441">
        <v>25.5</v>
      </c>
      <c r="AJ18" s="441">
        <v>200</v>
      </c>
      <c r="AK18" s="440">
        <v>1424</v>
      </c>
      <c r="AL18" s="45">
        <v>12</v>
      </c>
    </row>
    <row r="19" spans="1:38" s="56" customFormat="1" ht="15" customHeight="1">
      <c r="A19" s="439" t="s">
        <v>554</v>
      </c>
      <c r="B19" s="643" t="s">
        <v>751</v>
      </c>
      <c r="C19" s="643" t="s">
        <v>718</v>
      </c>
      <c r="D19" s="643" t="s">
        <v>2613</v>
      </c>
      <c r="E19" s="650"/>
      <c r="F19" s="650"/>
      <c r="G19" s="644"/>
      <c r="H19" s="650"/>
      <c r="I19" s="646">
        <f t="shared" si="1"/>
        <v>20000</v>
      </c>
      <c r="J19" s="650"/>
      <c r="K19" s="650">
        <v>20000</v>
      </c>
      <c r="L19" s="650"/>
      <c r="M19" s="650"/>
      <c r="N19" s="650">
        <v>1500</v>
      </c>
      <c r="O19" s="650">
        <v>81.06</v>
      </c>
      <c r="P19" s="650">
        <v>18500</v>
      </c>
      <c r="Q19" s="650">
        <v>1088.17</v>
      </c>
      <c r="R19" s="646">
        <f t="shared" si="2"/>
        <v>6710</v>
      </c>
      <c r="S19" s="650"/>
      <c r="T19" s="646">
        <f t="shared" si="3"/>
        <v>300</v>
      </c>
      <c r="U19" s="646">
        <f t="shared" si="4"/>
        <v>4810</v>
      </c>
      <c r="V19" s="644">
        <f t="shared" si="5"/>
        <v>1000</v>
      </c>
      <c r="W19" s="647">
        <f t="shared" si="6"/>
        <v>600</v>
      </c>
      <c r="X19" s="646">
        <f t="shared" si="7"/>
        <v>2044</v>
      </c>
      <c r="Y19" s="646">
        <f t="shared" si="8"/>
        <v>306.59999999999997</v>
      </c>
      <c r="Z19" s="646">
        <f t="shared" si="9"/>
        <v>715.4</v>
      </c>
      <c r="AA19" s="646">
        <f t="shared" si="10"/>
        <v>3643.9999999999995</v>
      </c>
      <c r="AB19" s="644" t="s">
        <v>1061</v>
      </c>
      <c r="AC19" s="650"/>
      <c r="AD19" s="650"/>
      <c r="AE19" s="644">
        <f t="shared" si="11"/>
        <v>4599</v>
      </c>
      <c r="AF19" s="644" t="s">
        <v>2614</v>
      </c>
      <c r="AG19" s="296">
        <f>I19*0.0115</f>
        <v>230</v>
      </c>
      <c r="AH19" s="296">
        <f>AE19*0.25</f>
        <v>1149.75</v>
      </c>
      <c r="AI19" s="296">
        <f>I19*0.005</f>
        <v>100</v>
      </c>
      <c r="AJ19" s="296"/>
      <c r="AK19" s="296">
        <v>1500</v>
      </c>
      <c r="AL19" s="45">
        <v>13</v>
      </c>
    </row>
    <row r="20" spans="1:38" s="56" customFormat="1" ht="15" customHeight="1">
      <c r="A20" s="439" t="s">
        <v>555</v>
      </c>
      <c r="B20" s="643" t="s">
        <v>751</v>
      </c>
      <c r="C20" s="643" t="s">
        <v>718</v>
      </c>
      <c r="D20" s="643" t="s">
        <v>2615</v>
      </c>
      <c r="E20" s="650"/>
      <c r="F20" s="650"/>
      <c r="G20" s="644"/>
      <c r="H20" s="650"/>
      <c r="I20" s="646">
        <f t="shared" si="1"/>
        <v>1200</v>
      </c>
      <c r="J20" s="650"/>
      <c r="K20" s="650">
        <v>1200</v>
      </c>
      <c r="L20" s="650"/>
      <c r="M20" s="650"/>
      <c r="N20" s="650"/>
      <c r="O20" s="650"/>
      <c r="P20" s="650">
        <v>1200</v>
      </c>
      <c r="Q20" s="650">
        <v>70.584</v>
      </c>
      <c r="R20" s="646">
        <f t="shared" si="2"/>
        <v>408</v>
      </c>
      <c r="S20" s="650"/>
      <c r="T20" s="646">
        <f t="shared" si="3"/>
        <v>0</v>
      </c>
      <c r="U20" s="646">
        <f t="shared" si="4"/>
        <v>312</v>
      </c>
      <c r="V20" s="644">
        <f t="shared" si="5"/>
        <v>60</v>
      </c>
      <c r="W20" s="647">
        <f t="shared" si="6"/>
        <v>36</v>
      </c>
      <c r="X20" s="646">
        <f t="shared" si="7"/>
        <v>124.80000000000001</v>
      </c>
      <c r="Y20" s="646">
        <f t="shared" si="8"/>
        <v>18.720000000000002</v>
      </c>
      <c r="Z20" s="646">
        <f t="shared" si="9"/>
        <v>43.68</v>
      </c>
      <c r="AA20" s="646">
        <f t="shared" si="10"/>
        <v>220.79999999999995</v>
      </c>
      <c r="AB20" s="644" t="s">
        <v>1061</v>
      </c>
      <c r="AC20" s="650"/>
      <c r="AD20" s="650"/>
      <c r="AE20" s="644">
        <f t="shared" si="11"/>
        <v>280.8</v>
      </c>
      <c r="AF20" s="644" t="s">
        <v>2616</v>
      </c>
      <c r="AG20" s="296">
        <f>I20*0.0115</f>
        <v>13.799999999999999</v>
      </c>
      <c r="AH20" s="296">
        <f>AE20*0.25</f>
        <v>70.2</v>
      </c>
      <c r="AI20" s="296">
        <f>I20*0.015</f>
        <v>18</v>
      </c>
      <c r="AJ20" s="296"/>
      <c r="AK20" s="296">
        <v>1300</v>
      </c>
      <c r="AL20" s="45">
        <v>14</v>
      </c>
    </row>
    <row r="21" spans="1:38" ht="15" customHeight="1">
      <c r="A21" s="439" t="s">
        <v>556</v>
      </c>
      <c r="B21" s="643" t="s">
        <v>751</v>
      </c>
      <c r="C21" s="643" t="s">
        <v>718</v>
      </c>
      <c r="D21" s="643" t="s">
        <v>1050</v>
      </c>
      <c r="E21" s="650"/>
      <c r="F21" s="650"/>
      <c r="G21" s="644"/>
      <c r="H21" s="650">
        <v>0.12</v>
      </c>
      <c r="I21" s="646">
        <f t="shared" si="1"/>
        <v>1100</v>
      </c>
      <c r="J21" s="650"/>
      <c r="K21" s="650">
        <v>1100</v>
      </c>
      <c r="L21" s="650"/>
      <c r="M21" s="650"/>
      <c r="N21" s="650"/>
      <c r="O21" s="650"/>
      <c r="P21" s="650">
        <v>1100</v>
      </c>
      <c r="Q21" s="650">
        <v>65</v>
      </c>
      <c r="R21" s="646">
        <f t="shared" si="2"/>
        <v>374</v>
      </c>
      <c r="S21" s="650"/>
      <c r="T21" s="646">
        <f t="shared" si="3"/>
        <v>0</v>
      </c>
      <c r="U21" s="646">
        <f t="shared" si="4"/>
        <v>286</v>
      </c>
      <c r="V21" s="644">
        <f t="shared" si="5"/>
        <v>55</v>
      </c>
      <c r="W21" s="647">
        <f t="shared" si="6"/>
        <v>33</v>
      </c>
      <c r="X21" s="646">
        <f t="shared" si="7"/>
        <v>114.4</v>
      </c>
      <c r="Y21" s="646">
        <f t="shared" si="8"/>
        <v>17.16</v>
      </c>
      <c r="Z21" s="646">
        <f t="shared" si="9"/>
        <v>40.04</v>
      </c>
      <c r="AA21" s="646">
        <f t="shared" si="10"/>
        <v>202.40000000000003</v>
      </c>
      <c r="AB21" s="644" t="s">
        <v>1070</v>
      </c>
      <c r="AC21" s="650"/>
      <c r="AD21" s="650"/>
      <c r="AE21" s="644">
        <f t="shared" si="11"/>
        <v>257.40000000000003</v>
      </c>
      <c r="AF21" s="644" t="s">
        <v>2617</v>
      </c>
      <c r="AG21" s="296">
        <f>I21*0.0115</f>
        <v>12.65</v>
      </c>
      <c r="AH21" s="296">
        <f>AE21*0.25</f>
        <v>64.35000000000001</v>
      </c>
      <c r="AI21" s="296">
        <f>I21*0.005</f>
        <v>5.5</v>
      </c>
      <c r="AJ21" s="296"/>
      <c r="AK21" s="296">
        <v>1500</v>
      </c>
      <c r="AL21" s="45">
        <v>15</v>
      </c>
    </row>
    <row r="22" spans="1:38" s="56" customFormat="1" ht="15" customHeight="1">
      <c r="A22" s="443" t="s">
        <v>1623</v>
      </c>
      <c r="B22" s="643" t="s">
        <v>751</v>
      </c>
      <c r="C22" s="643" t="s">
        <v>718</v>
      </c>
      <c r="D22" s="643" t="s">
        <v>1066</v>
      </c>
      <c r="E22" s="643"/>
      <c r="F22" s="644"/>
      <c r="G22" s="644"/>
      <c r="H22" s="645">
        <v>0.18</v>
      </c>
      <c r="I22" s="646">
        <f t="shared" si="1"/>
        <v>1150</v>
      </c>
      <c r="J22" s="647"/>
      <c r="K22" s="644">
        <v>1150</v>
      </c>
      <c r="L22" s="644"/>
      <c r="M22" s="646"/>
      <c r="N22" s="646"/>
      <c r="O22" s="646"/>
      <c r="P22" s="644">
        <v>1150</v>
      </c>
      <c r="Q22" s="646">
        <v>75</v>
      </c>
      <c r="R22" s="646">
        <f t="shared" si="2"/>
        <v>391</v>
      </c>
      <c r="S22" s="646"/>
      <c r="T22" s="646">
        <f t="shared" si="3"/>
        <v>0</v>
      </c>
      <c r="U22" s="646">
        <f t="shared" si="4"/>
        <v>299</v>
      </c>
      <c r="V22" s="644">
        <f t="shared" si="5"/>
        <v>57.5</v>
      </c>
      <c r="W22" s="647">
        <f t="shared" si="6"/>
        <v>34.5</v>
      </c>
      <c r="X22" s="646">
        <f t="shared" si="7"/>
        <v>119.60000000000001</v>
      </c>
      <c r="Y22" s="646">
        <f t="shared" si="8"/>
        <v>17.94</v>
      </c>
      <c r="Z22" s="646">
        <f t="shared" si="9"/>
        <v>41.86</v>
      </c>
      <c r="AA22" s="646">
        <f t="shared" si="10"/>
        <v>211.59999999999997</v>
      </c>
      <c r="AB22" s="644" t="s">
        <v>1061</v>
      </c>
      <c r="AC22" s="648"/>
      <c r="AD22" s="644"/>
      <c r="AE22" s="644">
        <f t="shared" si="11"/>
        <v>269.1</v>
      </c>
      <c r="AF22" s="644" t="s">
        <v>1052</v>
      </c>
      <c r="AG22" s="446">
        <v>15.5</v>
      </c>
      <c r="AH22" s="444">
        <v>270</v>
      </c>
      <c r="AI22" s="445">
        <v>6</v>
      </c>
      <c r="AJ22" s="445"/>
      <c r="AK22" s="444">
        <v>1350</v>
      </c>
      <c r="AL22" s="45">
        <v>16</v>
      </c>
    </row>
    <row r="23" spans="1:38" s="56" customFormat="1" ht="15" customHeight="1">
      <c r="A23" s="447" t="s">
        <v>1624</v>
      </c>
      <c r="B23" s="643" t="s">
        <v>751</v>
      </c>
      <c r="C23" s="643" t="s">
        <v>718</v>
      </c>
      <c r="D23" s="643" t="s">
        <v>1066</v>
      </c>
      <c r="E23" s="643"/>
      <c r="F23" s="644"/>
      <c r="G23" s="644"/>
      <c r="H23" s="645">
        <v>0.12</v>
      </c>
      <c r="I23" s="646">
        <f t="shared" si="1"/>
        <v>1050</v>
      </c>
      <c r="J23" s="649"/>
      <c r="K23" s="646">
        <v>1050</v>
      </c>
      <c r="L23" s="649"/>
      <c r="M23" s="649"/>
      <c r="N23" s="649"/>
      <c r="O23" s="649"/>
      <c r="P23" s="646">
        <v>1050</v>
      </c>
      <c r="Q23" s="646">
        <v>63</v>
      </c>
      <c r="R23" s="646">
        <f t="shared" si="2"/>
        <v>357</v>
      </c>
      <c r="S23" s="649"/>
      <c r="T23" s="646">
        <f t="shared" si="3"/>
        <v>0</v>
      </c>
      <c r="U23" s="646">
        <f t="shared" si="4"/>
        <v>273</v>
      </c>
      <c r="V23" s="644">
        <f t="shared" si="5"/>
        <v>52.5</v>
      </c>
      <c r="W23" s="647">
        <f t="shared" si="6"/>
        <v>31.5</v>
      </c>
      <c r="X23" s="646">
        <f t="shared" si="7"/>
        <v>109.2</v>
      </c>
      <c r="Y23" s="646">
        <f t="shared" si="8"/>
        <v>16.38</v>
      </c>
      <c r="Z23" s="646">
        <f t="shared" si="9"/>
        <v>38.22</v>
      </c>
      <c r="AA23" s="646">
        <f t="shared" si="10"/>
        <v>193.20000000000002</v>
      </c>
      <c r="AB23" s="644" t="s">
        <v>1061</v>
      </c>
      <c r="AC23" s="643"/>
      <c r="AD23" s="649"/>
      <c r="AE23" s="644">
        <f t="shared" si="11"/>
        <v>245.70000000000002</v>
      </c>
      <c r="AF23" s="644" t="s">
        <v>1062</v>
      </c>
      <c r="AG23" s="446">
        <v>12.2</v>
      </c>
      <c r="AH23" s="444">
        <v>250</v>
      </c>
      <c r="AI23" s="445">
        <v>5</v>
      </c>
      <c r="AJ23" s="445"/>
      <c r="AK23" s="444">
        <v>1300</v>
      </c>
      <c r="AL23" s="45">
        <v>17</v>
      </c>
    </row>
    <row r="24" spans="1:38" s="56" customFormat="1" ht="15" customHeight="1">
      <c r="A24" s="443" t="s">
        <v>557</v>
      </c>
      <c r="B24" s="643" t="s">
        <v>751</v>
      </c>
      <c r="C24" s="643" t="s">
        <v>718</v>
      </c>
      <c r="D24" s="643" t="s">
        <v>2618</v>
      </c>
      <c r="E24" s="650"/>
      <c r="F24" s="650"/>
      <c r="G24" s="644"/>
      <c r="H24" s="651">
        <v>0.2348</v>
      </c>
      <c r="I24" s="646">
        <f t="shared" si="1"/>
        <v>1500</v>
      </c>
      <c r="J24" s="650"/>
      <c r="K24" s="650">
        <f>SUM(P24+N24+L24)</f>
        <v>1500</v>
      </c>
      <c r="L24" s="650"/>
      <c r="M24" s="650"/>
      <c r="N24" s="650"/>
      <c r="O24" s="650"/>
      <c r="P24" s="650">
        <v>1500</v>
      </c>
      <c r="Q24" s="650">
        <v>90</v>
      </c>
      <c r="R24" s="646">
        <f t="shared" si="2"/>
        <v>510</v>
      </c>
      <c r="S24" s="650"/>
      <c r="T24" s="646">
        <f t="shared" si="3"/>
        <v>0</v>
      </c>
      <c r="U24" s="646">
        <f t="shared" si="4"/>
        <v>390</v>
      </c>
      <c r="V24" s="644">
        <f t="shared" si="5"/>
        <v>75</v>
      </c>
      <c r="W24" s="647">
        <f t="shared" si="6"/>
        <v>45</v>
      </c>
      <c r="X24" s="646">
        <f t="shared" si="7"/>
        <v>156</v>
      </c>
      <c r="Y24" s="646">
        <f t="shared" si="8"/>
        <v>23.4</v>
      </c>
      <c r="Z24" s="646">
        <f t="shared" si="9"/>
        <v>54.599999999999994</v>
      </c>
      <c r="AA24" s="646">
        <f t="shared" si="10"/>
        <v>276</v>
      </c>
      <c r="AB24" s="644" t="s">
        <v>1061</v>
      </c>
      <c r="AC24" s="650"/>
      <c r="AD24" s="650"/>
      <c r="AE24" s="644">
        <f t="shared" si="11"/>
        <v>351</v>
      </c>
      <c r="AF24" s="644" t="s">
        <v>2619</v>
      </c>
      <c r="AG24" s="296">
        <f>I24*0.0115</f>
        <v>17.25</v>
      </c>
      <c r="AH24" s="296">
        <f>AE24*0.25</f>
        <v>87.75</v>
      </c>
      <c r="AI24" s="296">
        <f>I24*0.015</f>
        <v>22.5</v>
      </c>
      <c r="AJ24" s="296"/>
      <c r="AK24" s="296">
        <v>1300</v>
      </c>
      <c r="AL24" s="45">
        <v>18</v>
      </c>
    </row>
    <row r="25" spans="1:38" s="56" customFormat="1" ht="15" customHeight="1">
      <c r="A25" s="443" t="s">
        <v>558</v>
      </c>
      <c r="B25" s="643" t="s">
        <v>751</v>
      </c>
      <c r="C25" s="643" t="s">
        <v>718</v>
      </c>
      <c r="D25" s="643" t="s">
        <v>2618</v>
      </c>
      <c r="E25" s="650"/>
      <c r="F25" s="650"/>
      <c r="G25" s="644"/>
      <c r="H25" s="651">
        <v>0.2348</v>
      </c>
      <c r="I25" s="646">
        <f t="shared" si="1"/>
        <v>1300</v>
      </c>
      <c r="J25" s="650"/>
      <c r="K25" s="650">
        <v>1300</v>
      </c>
      <c r="L25" s="650"/>
      <c r="M25" s="650"/>
      <c r="N25" s="650"/>
      <c r="O25" s="650"/>
      <c r="P25" s="650">
        <v>1300</v>
      </c>
      <c r="Q25" s="650">
        <v>80</v>
      </c>
      <c r="R25" s="646">
        <f t="shared" si="2"/>
        <v>442</v>
      </c>
      <c r="S25" s="650"/>
      <c r="T25" s="646">
        <f t="shared" si="3"/>
        <v>0</v>
      </c>
      <c r="U25" s="646">
        <f t="shared" si="4"/>
        <v>338</v>
      </c>
      <c r="V25" s="644">
        <f t="shared" si="5"/>
        <v>65</v>
      </c>
      <c r="W25" s="647">
        <f t="shared" si="6"/>
        <v>39</v>
      </c>
      <c r="X25" s="646">
        <f t="shared" si="7"/>
        <v>135.20000000000002</v>
      </c>
      <c r="Y25" s="646">
        <f t="shared" si="8"/>
        <v>20.28</v>
      </c>
      <c r="Z25" s="646">
        <f t="shared" si="9"/>
        <v>47.32</v>
      </c>
      <c r="AA25" s="646">
        <f t="shared" si="10"/>
        <v>239.2</v>
      </c>
      <c r="AB25" s="644" t="s">
        <v>1061</v>
      </c>
      <c r="AC25" s="650"/>
      <c r="AD25" s="650"/>
      <c r="AE25" s="644">
        <f t="shared" si="11"/>
        <v>304.2</v>
      </c>
      <c r="AF25" s="644" t="s">
        <v>2620</v>
      </c>
      <c r="AG25" s="296">
        <f>I25*0.0115</f>
        <v>14.95</v>
      </c>
      <c r="AH25" s="296">
        <f>AE25*0.25</f>
        <v>76.05</v>
      </c>
      <c r="AI25" s="296">
        <f>I25*0.015</f>
        <v>19.5</v>
      </c>
      <c r="AJ25" s="296"/>
      <c r="AK25" s="296">
        <v>1280</v>
      </c>
      <c r="AL25" s="45">
        <v>19</v>
      </c>
    </row>
    <row r="26" spans="1:38" s="56" customFormat="1" ht="15" customHeight="1">
      <c r="A26" s="653" t="s">
        <v>2566</v>
      </c>
      <c r="B26" s="643" t="s">
        <v>751</v>
      </c>
      <c r="C26" s="643" t="s">
        <v>718</v>
      </c>
      <c r="D26" s="643" t="s">
        <v>2615</v>
      </c>
      <c r="E26" s="643" t="s">
        <v>2621</v>
      </c>
      <c r="F26" s="644"/>
      <c r="G26" s="644" t="s">
        <v>1055</v>
      </c>
      <c r="H26" s="645">
        <v>0.33</v>
      </c>
      <c r="I26" s="646">
        <f>J26+K26</f>
        <v>3500</v>
      </c>
      <c r="J26" s="644"/>
      <c r="K26" s="646">
        <v>3500</v>
      </c>
      <c r="L26" s="644">
        <v>0</v>
      </c>
      <c r="M26" s="646">
        <v>0</v>
      </c>
      <c r="N26" s="646">
        <v>0</v>
      </c>
      <c r="O26" s="646">
        <v>0</v>
      </c>
      <c r="P26" s="646">
        <v>3500</v>
      </c>
      <c r="Q26" s="646">
        <v>191</v>
      </c>
      <c r="R26" s="646">
        <f>S26+T26+U26+V26+W26</f>
        <v>1190</v>
      </c>
      <c r="S26" s="646">
        <v>0</v>
      </c>
      <c r="T26" s="646">
        <f>N26*0.2</f>
        <v>0</v>
      </c>
      <c r="U26" s="646">
        <f>P26*0.26</f>
        <v>910</v>
      </c>
      <c r="V26" s="644">
        <f>I26*0.05</f>
        <v>175</v>
      </c>
      <c r="W26" s="647">
        <f>I26*0.03</f>
        <v>105</v>
      </c>
      <c r="X26" s="646">
        <f>(S26+T26+U26)*0.4</f>
        <v>364</v>
      </c>
      <c r="Y26" s="646">
        <f>(S26+T26+U26)*0.2*0.3</f>
        <v>54.6</v>
      </c>
      <c r="Z26" s="646">
        <f>(S26+T26+U26)*0.2*0.7</f>
        <v>127.39999999999999</v>
      </c>
      <c r="AA26" s="646">
        <f>R26-X26-Y26-Z26</f>
        <v>644</v>
      </c>
      <c r="AB26" s="644" t="s">
        <v>1061</v>
      </c>
      <c r="AC26" s="643" t="s">
        <v>2621</v>
      </c>
      <c r="AD26" s="644"/>
      <c r="AE26" s="644">
        <f>(T26+U26)*0.9</f>
        <v>819</v>
      </c>
      <c r="AF26" s="644" t="s">
        <v>2614</v>
      </c>
      <c r="AG26" s="296"/>
      <c r="AH26" s="296"/>
      <c r="AI26" s="296"/>
      <c r="AJ26" s="296"/>
      <c r="AK26" s="296"/>
      <c r="AL26" s="45">
        <v>20</v>
      </c>
    </row>
    <row r="27" spans="1:38" ht="15" customHeight="1">
      <c r="A27" s="614" t="s">
        <v>559</v>
      </c>
      <c r="B27" s="643" t="s">
        <v>751</v>
      </c>
      <c r="C27" s="643" t="s">
        <v>718</v>
      </c>
      <c r="D27" s="643" t="s">
        <v>1054</v>
      </c>
      <c r="E27" s="643" t="s">
        <v>2622</v>
      </c>
      <c r="F27" s="644">
        <v>300</v>
      </c>
      <c r="G27" s="644" t="s">
        <v>2623</v>
      </c>
      <c r="H27" s="645"/>
      <c r="I27" s="646">
        <f t="shared" si="1"/>
        <v>1010</v>
      </c>
      <c r="J27" s="647">
        <v>1010</v>
      </c>
      <c r="K27" s="644"/>
      <c r="L27" s="644"/>
      <c r="M27" s="646"/>
      <c r="N27" s="646"/>
      <c r="O27" s="646"/>
      <c r="P27" s="646">
        <f>I27</f>
        <v>1010</v>
      </c>
      <c r="Q27" s="646">
        <f>I27*0.0587</f>
        <v>59.287</v>
      </c>
      <c r="R27" s="646">
        <f t="shared" si="2"/>
        <v>343.40000000000003</v>
      </c>
      <c r="S27" s="646"/>
      <c r="T27" s="646">
        <f t="shared" si="3"/>
        <v>0</v>
      </c>
      <c r="U27" s="646">
        <f t="shared" si="4"/>
        <v>262.6</v>
      </c>
      <c r="V27" s="644">
        <f t="shared" si="5"/>
        <v>50.5</v>
      </c>
      <c r="W27" s="647">
        <f t="shared" si="6"/>
        <v>30.299999999999997</v>
      </c>
      <c r="X27" s="646">
        <f t="shared" si="7"/>
        <v>105.04000000000002</v>
      </c>
      <c r="Y27" s="646">
        <f t="shared" si="8"/>
        <v>15.756000000000002</v>
      </c>
      <c r="Z27" s="646">
        <f t="shared" si="9"/>
        <v>36.764</v>
      </c>
      <c r="AA27" s="646">
        <f t="shared" si="10"/>
        <v>185.84</v>
      </c>
      <c r="AB27" s="644" t="s">
        <v>1070</v>
      </c>
      <c r="AC27" s="648" t="str">
        <f>E27</f>
        <v>牟定强基种养殖专业合作社</v>
      </c>
      <c r="AD27" s="644" t="s">
        <v>1056</v>
      </c>
      <c r="AE27" s="644">
        <f t="shared" si="11"/>
        <v>236.34000000000003</v>
      </c>
      <c r="AF27" s="644" t="s">
        <v>2624</v>
      </c>
      <c r="AG27" s="446">
        <f>I27*0.0115</f>
        <v>11.615</v>
      </c>
      <c r="AH27" s="444">
        <f>0.18*I27</f>
        <v>181.79999999999998</v>
      </c>
      <c r="AI27" s="445">
        <f>I27*0.015</f>
        <v>15.149999999999999</v>
      </c>
      <c r="AJ27" s="444">
        <f>I27*0.18</f>
        <v>181.79999999999998</v>
      </c>
      <c r="AK27" s="444">
        <v>1280</v>
      </c>
      <c r="AL27" s="45">
        <v>21</v>
      </c>
    </row>
  </sheetData>
  <sheetProtection/>
  <mergeCells count="30">
    <mergeCell ref="H2:H4"/>
    <mergeCell ref="I2:Q2"/>
    <mergeCell ref="R2:W3"/>
    <mergeCell ref="X2:AA3"/>
    <mergeCell ref="A1:AK1"/>
    <mergeCell ref="A2:A4"/>
    <mergeCell ref="B2:B4"/>
    <mergeCell ref="C2:C4"/>
    <mergeCell ref="D2:D4"/>
    <mergeCell ref="E2:E4"/>
    <mergeCell ref="AF2:AF4"/>
    <mergeCell ref="AG2:AK2"/>
    <mergeCell ref="F2:F4"/>
    <mergeCell ref="G2:G4"/>
    <mergeCell ref="AE3:AE4"/>
    <mergeCell ref="AG3:AG4"/>
    <mergeCell ref="AH3:AH4"/>
    <mergeCell ref="AI3:AI4"/>
    <mergeCell ref="AB2:AB4"/>
    <mergeCell ref="AC2:AE2"/>
    <mergeCell ref="AJ3:AJ4"/>
    <mergeCell ref="AK3:AK4"/>
    <mergeCell ref="N3:O3"/>
    <mergeCell ref="P3:Q3"/>
    <mergeCell ref="I3:I4"/>
    <mergeCell ref="J3:J4"/>
    <mergeCell ref="K3:K4"/>
    <mergeCell ref="L3:M3"/>
    <mergeCell ref="AC3:AC4"/>
    <mergeCell ref="AD3:AD4"/>
  </mergeCells>
  <printOptions horizontalCentered="1"/>
  <pageMargins left="0.29" right="0.17" top="0.7480314960629921" bottom="0.7480314960629921" header="0.31496062992125984" footer="0.31496062992125984"/>
  <pageSetup horizontalDpi="600" verticalDpi="600" orientation="landscape" paperSize="9" scale="95" r:id="rId1"/>
  <headerFooter>
    <oddFooter>&amp;C第 &amp;P 页，共 &amp;N 页</oddFooter>
  </headerFooter>
</worksheet>
</file>

<file path=xl/worksheets/sheet16.xml><?xml version="1.0" encoding="utf-8"?>
<worksheet xmlns="http://schemas.openxmlformats.org/spreadsheetml/2006/main" xmlns:r="http://schemas.openxmlformats.org/officeDocument/2006/relationships">
  <sheetPr>
    <tabColor rgb="FFFF0000"/>
  </sheetPr>
  <dimension ref="A1:J31"/>
  <sheetViews>
    <sheetView zoomScalePageLayoutView="0" workbookViewId="0" topLeftCell="A13">
      <selection activeCell="M13" sqref="M13"/>
    </sheetView>
  </sheetViews>
  <sheetFormatPr defaultColWidth="9.00390625" defaultRowHeight="13.5"/>
  <cols>
    <col min="1" max="1" width="3.75390625" style="0" customWidth="1"/>
    <col min="2" max="2" width="16.125" style="0" customWidth="1"/>
    <col min="3" max="3" width="6.125" style="0" customWidth="1"/>
    <col min="4" max="4" width="7.375" style="0" customWidth="1"/>
    <col min="6" max="6" width="19.50390625" style="0" customWidth="1"/>
    <col min="7" max="7" width="4.50390625" style="0" customWidth="1"/>
    <col min="8" max="9" width="11.50390625" style="0" customWidth="1"/>
  </cols>
  <sheetData>
    <row r="1" spans="1:10" ht="13.5">
      <c r="A1" s="846" t="s">
        <v>1086</v>
      </c>
      <c r="B1" s="847"/>
      <c r="C1" s="847"/>
      <c r="D1" s="847"/>
      <c r="E1" s="847"/>
      <c r="F1" s="847"/>
      <c r="G1" s="847"/>
      <c r="H1" s="847"/>
      <c r="I1" s="847"/>
      <c r="J1" s="847"/>
    </row>
    <row r="2" spans="1:10" ht="13.5">
      <c r="A2" s="848"/>
      <c r="B2" s="848"/>
      <c r="C2" s="848"/>
      <c r="D2" s="848"/>
      <c r="E2" s="848"/>
      <c r="F2" s="848"/>
      <c r="G2" s="848"/>
      <c r="H2" s="848"/>
      <c r="I2" s="847"/>
      <c r="J2" s="847"/>
    </row>
    <row r="3" spans="1:10" ht="16.5" customHeight="1">
      <c r="A3" s="845" t="s">
        <v>867</v>
      </c>
      <c r="B3" s="845" t="s">
        <v>1088</v>
      </c>
      <c r="C3" s="845" t="s">
        <v>1087</v>
      </c>
      <c r="D3" s="845" t="s">
        <v>986</v>
      </c>
      <c r="E3" s="840" t="s">
        <v>1091</v>
      </c>
      <c r="F3" s="845" t="s">
        <v>1082</v>
      </c>
      <c r="G3" s="845"/>
      <c r="H3" s="845" t="s">
        <v>1083</v>
      </c>
      <c r="I3" s="840" t="s">
        <v>1090</v>
      </c>
      <c r="J3" s="849" t="s">
        <v>1089</v>
      </c>
    </row>
    <row r="4" spans="1:10" ht="16.5" customHeight="1">
      <c r="A4" s="845"/>
      <c r="B4" s="845"/>
      <c r="C4" s="845"/>
      <c r="D4" s="845"/>
      <c r="E4" s="843"/>
      <c r="F4" s="845" t="s">
        <v>1084</v>
      </c>
      <c r="G4" s="845" t="s">
        <v>1085</v>
      </c>
      <c r="H4" s="845"/>
      <c r="I4" s="841"/>
      <c r="J4" s="845"/>
    </row>
    <row r="5" spans="1:10" ht="16.5" customHeight="1">
      <c r="A5" s="845"/>
      <c r="B5" s="845"/>
      <c r="C5" s="845"/>
      <c r="D5" s="845"/>
      <c r="E5" s="844"/>
      <c r="F5" s="845"/>
      <c r="G5" s="845"/>
      <c r="H5" s="845"/>
      <c r="I5" s="842"/>
      <c r="J5" s="845"/>
    </row>
    <row r="6" spans="1:10" s="97" customFormat="1" ht="16.5" customHeight="1">
      <c r="A6" s="111"/>
      <c r="B6" s="112" t="s">
        <v>1071</v>
      </c>
      <c r="C6" s="111"/>
      <c r="D6" s="111"/>
      <c r="E6" s="113"/>
      <c r="F6" s="111"/>
      <c r="G6" s="111"/>
      <c r="H6" s="111">
        <f>SUM(H7:H31)</f>
        <v>307.9393019480267</v>
      </c>
      <c r="I6" s="111">
        <f>SUM(I7:I31)</f>
        <v>0</v>
      </c>
      <c r="J6" s="111">
        <f>SUM(J7:J31)</f>
        <v>28620.0750942566</v>
      </c>
    </row>
    <row r="7" spans="1:10" ht="27" customHeight="1">
      <c r="A7" s="565">
        <v>1</v>
      </c>
      <c r="B7" s="580" t="s">
        <v>2543</v>
      </c>
      <c r="C7" s="564" t="s">
        <v>39</v>
      </c>
      <c r="D7" s="564" t="s">
        <v>1298</v>
      </c>
      <c r="E7" s="564" t="s">
        <v>43</v>
      </c>
      <c r="F7" s="564" t="s">
        <v>2553</v>
      </c>
      <c r="G7" s="564"/>
      <c r="H7" s="564">
        <v>3.4</v>
      </c>
      <c r="I7" s="564" t="s">
        <v>2554</v>
      </c>
      <c r="J7" s="564">
        <v>1785</v>
      </c>
    </row>
    <row r="8" spans="1:10" ht="27" customHeight="1">
      <c r="A8" s="565">
        <v>2</v>
      </c>
      <c r="B8" s="580" t="s">
        <v>2544</v>
      </c>
      <c r="C8" s="564" t="s">
        <v>39</v>
      </c>
      <c r="D8" s="564" t="s">
        <v>1298</v>
      </c>
      <c r="E8" s="564" t="s">
        <v>43</v>
      </c>
      <c r="F8" s="564" t="s">
        <v>2550</v>
      </c>
      <c r="G8" s="564"/>
      <c r="H8" s="564">
        <v>8.43</v>
      </c>
      <c r="I8" s="564" t="s">
        <v>2555</v>
      </c>
      <c r="J8" s="564">
        <v>379.35</v>
      </c>
    </row>
    <row r="9" spans="1:10" ht="27" customHeight="1">
      <c r="A9" s="565">
        <v>3</v>
      </c>
      <c r="B9" s="580" t="s">
        <v>1327</v>
      </c>
      <c r="C9" s="564" t="s">
        <v>39</v>
      </c>
      <c r="D9" s="564" t="s">
        <v>1298</v>
      </c>
      <c r="E9" s="564" t="s">
        <v>43</v>
      </c>
      <c r="F9" s="564" t="s">
        <v>2550</v>
      </c>
      <c r="G9" s="564"/>
      <c r="H9" s="564">
        <v>9.86</v>
      </c>
      <c r="I9" s="564" t="s">
        <v>2555</v>
      </c>
      <c r="J9" s="564">
        <v>520</v>
      </c>
    </row>
    <row r="10" spans="1:10" s="63" customFormat="1" ht="27" customHeight="1">
      <c r="A10" s="565">
        <v>4</v>
      </c>
      <c r="B10" s="581" t="s">
        <v>1405</v>
      </c>
      <c r="C10" s="564" t="s">
        <v>39</v>
      </c>
      <c r="D10" s="566" t="s">
        <v>1060</v>
      </c>
      <c r="E10" s="565" t="s">
        <v>2522</v>
      </c>
      <c r="F10" s="564" t="s">
        <v>2550</v>
      </c>
      <c r="G10" s="564"/>
      <c r="H10" s="567">
        <v>12.62</v>
      </c>
      <c r="I10" s="564" t="s">
        <v>2555</v>
      </c>
      <c r="J10" s="568">
        <v>2362.15</v>
      </c>
    </row>
    <row r="11" spans="1:10" s="63" customFormat="1" ht="27" customHeight="1">
      <c r="A11" s="565">
        <v>5</v>
      </c>
      <c r="B11" s="582" t="s">
        <v>1406</v>
      </c>
      <c r="C11" s="564" t="s">
        <v>2523</v>
      </c>
      <c r="D11" s="566" t="s">
        <v>1060</v>
      </c>
      <c r="E11" s="570" t="s">
        <v>2524</v>
      </c>
      <c r="F11" s="564" t="s">
        <v>2551</v>
      </c>
      <c r="G11" s="564"/>
      <c r="H11" s="569">
        <v>10.25</v>
      </c>
      <c r="I11" s="564" t="s">
        <v>2555</v>
      </c>
      <c r="J11" s="569">
        <v>461.25</v>
      </c>
    </row>
    <row r="12" spans="1:10" s="63" customFormat="1" ht="27" customHeight="1">
      <c r="A12" s="565">
        <v>6</v>
      </c>
      <c r="B12" s="583" t="s">
        <v>1407</v>
      </c>
      <c r="C12" s="564" t="s">
        <v>2523</v>
      </c>
      <c r="D12" s="566" t="s">
        <v>1060</v>
      </c>
      <c r="E12" s="571" t="s">
        <v>2524</v>
      </c>
      <c r="F12" s="564" t="s">
        <v>2551</v>
      </c>
      <c r="G12" s="564"/>
      <c r="H12" s="572">
        <v>14.49</v>
      </c>
      <c r="I12" s="564" t="s">
        <v>2555</v>
      </c>
      <c r="J12" s="573">
        <v>652.05</v>
      </c>
    </row>
    <row r="13" spans="1:10" s="63" customFormat="1" ht="27" customHeight="1">
      <c r="A13" s="565">
        <v>7</v>
      </c>
      <c r="B13" s="583" t="s">
        <v>1408</v>
      </c>
      <c r="C13" s="564" t="s">
        <v>2523</v>
      </c>
      <c r="D13" s="566" t="s">
        <v>1060</v>
      </c>
      <c r="E13" s="571" t="s">
        <v>2525</v>
      </c>
      <c r="F13" s="564" t="s">
        <v>2551</v>
      </c>
      <c r="G13" s="564"/>
      <c r="H13" s="572">
        <v>13.4</v>
      </c>
      <c r="I13" s="564" t="s">
        <v>2555</v>
      </c>
      <c r="J13" s="573">
        <v>603</v>
      </c>
    </row>
    <row r="14" spans="1:10" s="63" customFormat="1" ht="27" customHeight="1">
      <c r="A14" s="565">
        <v>8</v>
      </c>
      <c r="B14" s="583" t="s">
        <v>1409</v>
      </c>
      <c r="C14" s="564" t="s">
        <v>2523</v>
      </c>
      <c r="D14" s="566" t="s">
        <v>1060</v>
      </c>
      <c r="E14" s="571" t="s">
        <v>2526</v>
      </c>
      <c r="F14" s="564" t="s">
        <v>2551</v>
      </c>
      <c r="G14" s="564"/>
      <c r="H14" s="572">
        <v>14.2</v>
      </c>
      <c r="I14" s="564" t="s">
        <v>2555</v>
      </c>
      <c r="J14" s="573">
        <v>639</v>
      </c>
    </row>
    <row r="15" spans="1:10" s="63" customFormat="1" ht="27" customHeight="1">
      <c r="A15" s="565">
        <v>9</v>
      </c>
      <c r="B15" s="584" t="s">
        <v>2527</v>
      </c>
      <c r="C15" s="564" t="s">
        <v>2477</v>
      </c>
      <c r="D15" s="566" t="s">
        <v>1060</v>
      </c>
      <c r="E15" s="571" t="s">
        <v>2475</v>
      </c>
      <c r="F15" s="564" t="s">
        <v>2552</v>
      </c>
      <c r="G15" s="564"/>
      <c r="H15" s="572">
        <v>14.8</v>
      </c>
      <c r="I15" s="564" t="s">
        <v>2555</v>
      </c>
      <c r="J15" s="574">
        <v>761.13</v>
      </c>
    </row>
    <row r="16" spans="1:10" s="63" customFormat="1" ht="27" customHeight="1">
      <c r="A16" s="565">
        <v>10</v>
      </c>
      <c r="B16" s="584" t="s">
        <v>2476</v>
      </c>
      <c r="C16" s="564" t="s">
        <v>2477</v>
      </c>
      <c r="D16" s="566" t="s">
        <v>1060</v>
      </c>
      <c r="E16" s="571" t="s">
        <v>2478</v>
      </c>
      <c r="F16" s="564" t="s">
        <v>2552</v>
      </c>
      <c r="G16" s="564"/>
      <c r="H16" s="572">
        <v>11.2</v>
      </c>
      <c r="I16" s="564" t="s">
        <v>2555</v>
      </c>
      <c r="J16" s="574">
        <v>434.54</v>
      </c>
    </row>
    <row r="17" spans="1:10" ht="27" customHeight="1">
      <c r="A17" s="565">
        <v>11</v>
      </c>
      <c r="B17" s="580" t="s">
        <v>2528</v>
      </c>
      <c r="C17" s="564" t="s">
        <v>2523</v>
      </c>
      <c r="D17" s="564" t="s">
        <v>2529</v>
      </c>
      <c r="E17" s="564" t="s">
        <v>2530</v>
      </c>
      <c r="F17" s="564" t="s">
        <v>2552</v>
      </c>
      <c r="G17" s="564"/>
      <c r="H17" s="564">
        <v>6.09</v>
      </c>
      <c r="I17" s="564" t="s">
        <v>2555</v>
      </c>
      <c r="J17" s="564">
        <v>274.05</v>
      </c>
    </row>
    <row r="18" spans="1:10" ht="27" customHeight="1">
      <c r="A18" s="565">
        <v>12</v>
      </c>
      <c r="B18" s="585" t="s">
        <v>2531</v>
      </c>
      <c r="C18" s="564" t="s">
        <v>2523</v>
      </c>
      <c r="D18" s="564" t="s">
        <v>2529</v>
      </c>
      <c r="E18" s="564" t="s">
        <v>2530</v>
      </c>
      <c r="F18" s="564" t="s">
        <v>2552</v>
      </c>
      <c r="G18" s="564"/>
      <c r="H18" s="550">
        <v>13.429300000000001</v>
      </c>
      <c r="I18" s="564" t="s">
        <v>2555</v>
      </c>
      <c r="J18" s="575">
        <v>2318.775645375381</v>
      </c>
    </row>
    <row r="19" spans="1:10" ht="27" customHeight="1">
      <c r="A19" s="565">
        <v>13</v>
      </c>
      <c r="B19" s="585" t="s">
        <v>2532</v>
      </c>
      <c r="C19" s="564" t="s">
        <v>2523</v>
      </c>
      <c r="D19" s="564" t="s">
        <v>2529</v>
      </c>
      <c r="E19" s="564" t="s">
        <v>2530</v>
      </c>
      <c r="F19" s="564" t="s">
        <v>2552</v>
      </c>
      <c r="G19" s="564"/>
      <c r="H19" s="550">
        <v>12.898800000000001</v>
      </c>
      <c r="I19" s="564" t="s">
        <v>2555</v>
      </c>
      <c r="J19" s="575">
        <v>2600.5553295600257</v>
      </c>
    </row>
    <row r="20" spans="1:10" ht="27" customHeight="1">
      <c r="A20" s="565">
        <v>14</v>
      </c>
      <c r="B20" s="585" t="s">
        <v>2533</v>
      </c>
      <c r="C20" s="564" t="s">
        <v>2523</v>
      </c>
      <c r="D20" s="564" t="s">
        <v>2529</v>
      </c>
      <c r="E20" s="564" t="s">
        <v>2530</v>
      </c>
      <c r="F20" s="564" t="s">
        <v>2552</v>
      </c>
      <c r="G20" s="564"/>
      <c r="H20" s="550">
        <v>14.581201948026669</v>
      </c>
      <c r="I20" s="564" t="s">
        <v>2555</v>
      </c>
      <c r="J20" s="575">
        <v>2607.2441193212</v>
      </c>
    </row>
    <row r="21" spans="1:10" ht="27" customHeight="1">
      <c r="A21" s="565">
        <v>15</v>
      </c>
      <c r="B21" s="586" t="s">
        <v>2534</v>
      </c>
      <c r="C21" s="564" t="s">
        <v>2523</v>
      </c>
      <c r="D21" s="564" t="s">
        <v>2529</v>
      </c>
      <c r="E21" s="564" t="s">
        <v>2530</v>
      </c>
      <c r="F21" s="564" t="s">
        <v>2552</v>
      </c>
      <c r="G21" s="564"/>
      <c r="H21" s="576">
        <v>13.43</v>
      </c>
      <c r="I21" s="564" t="s">
        <v>2555</v>
      </c>
      <c r="J21" s="577">
        <v>604.35</v>
      </c>
    </row>
    <row r="22" spans="1:10" ht="27" customHeight="1">
      <c r="A22" s="565">
        <v>16</v>
      </c>
      <c r="B22" s="586" t="s">
        <v>2535</v>
      </c>
      <c r="C22" s="564" t="s">
        <v>2523</v>
      </c>
      <c r="D22" s="564" t="s">
        <v>2529</v>
      </c>
      <c r="E22" s="564" t="s">
        <v>2530</v>
      </c>
      <c r="F22" s="564" t="s">
        <v>2551</v>
      </c>
      <c r="G22" s="564"/>
      <c r="H22" s="576">
        <v>12.9</v>
      </c>
      <c r="I22" s="564" t="s">
        <v>2555</v>
      </c>
      <c r="J22" s="577">
        <v>580.5</v>
      </c>
    </row>
    <row r="23" spans="1:10" s="46" customFormat="1" ht="27" customHeight="1">
      <c r="A23" s="565">
        <v>17</v>
      </c>
      <c r="B23" s="586" t="s">
        <v>2536</v>
      </c>
      <c r="C23" s="564" t="s">
        <v>2523</v>
      </c>
      <c r="D23" s="564" t="s">
        <v>2529</v>
      </c>
      <c r="E23" s="564" t="s">
        <v>2530</v>
      </c>
      <c r="F23" s="564" t="s">
        <v>2551</v>
      </c>
      <c r="G23" s="564"/>
      <c r="H23" s="576">
        <v>7.24</v>
      </c>
      <c r="I23" s="564" t="s">
        <v>2555</v>
      </c>
      <c r="J23" s="577">
        <v>325.8</v>
      </c>
    </row>
    <row r="24" spans="1:10" s="47" customFormat="1" ht="27" customHeight="1">
      <c r="A24" s="565">
        <v>18</v>
      </c>
      <c r="B24" s="580" t="s">
        <v>2545</v>
      </c>
      <c r="C24" s="564" t="s">
        <v>39</v>
      </c>
      <c r="D24" s="578" t="s">
        <v>2537</v>
      </c>
      <c r="E24" s="579" t="s">
        <v>2530</v>
      </c>
      <c r="F24" s="564" t="s">
        <v>2553</v>
      </c>
      <c r="G24" s="579"/>
      <c r="H24" s="575">
        <v>3.4</v>
      </c>
      <c r="I24" s="579" t="s">
        <v>2556</v>
      </c>
      <c r="J24" s="575">
        <v>1785</v>
      </c>
    </row>
    <row r="25" spans="1:10" s="47" customFormat="1" ht="27" customHeight="1">
      <c r="A25" s="565">
        <v>19</v>
      </c>
      <c r="B25" s="580" t="s">
        <v>2546</v>
      </c>
      <c r="C25" s="564" t="s">
        <v>39</v>
      </c>
      <c r="D25" s="578" t="s">
        <v>2537</v>
      </c>
      <c r="E25" s="579" t="s">
        <v>2530</v>
      </c>
      <c r="F25" s="564" t="s">
        <v>2553</v>
      </c>
      <c r="G25" s="579"/>
      <c r="H25" s="575">
        <v>9.96</v>
      </c>
      <c r="I25" s="564" t="s">
        <v>2555</v>
      </c>
      <c r="J25" s="575">
        <v>448.2</v>
      </c>
    </row>
    <row r="26" spans="1:10" s="47" customFormat="1" ht="27" customHeight="1">
      <c r="A26" s="565">
        <v>20</v>
      </c>
      <c r="B26" s="639" t="s">
        <v>2586</v>
      </c>
      <c r="C26" s="564" t="s">
        <v>39</v>
      </c>
      <c r="D26" s="578" t="s">
        <v>79</v>
      </c>
      <c r="E26" s="579" t="s">
        <v>43</v>
      </c>
      <c r="F26" s="564" t="s">
        <v>2553</v>
      </c>
      <c r="G26" s="579"/>
      <c r="H26" s="575">
        <v>14.5</v>
      </c>
      <c r="I26" s="564" t="s">
        <v>2555</v>
      </c>
      <c r="J26" s="575">
        <v>690</v>
      </c>
    </row>
    <row r="27" spans="1:10" s="47" customFormat="1" ht="27" customHeight="1">
      <c r="A27" s="565">
        <v>21</v>
      </c>
      <c r="B27" s="639" t="s">
        <v>2587</v>
      </c>
      <c r="C27" s="564" t="s">
        <v>39</v>
      </c>
      <c r="D27" s="578" t="s">
        <v>79</v>
      </c>
      <c r="E27" s="579" t="s">
        <v>43</v>
      </c>
      <c r="F27" s="564" t="s">
        <v>2553</v>
      </c>
      <c r="G27" s="579"/>
      <c r="H27" s="575">
        <v>14.72</v>
      </c>
      <c r="I27" s="564" t="s">
        <v>2555</v>
      </c>
      <c r="J27" s="575">
        <v>750</v>
      </c>
    </row>
    <row r="28" spans="1:10" s="47" customFormat="1" ht="27" customHeight="1">
      <c r="A28" s="565">
        <v>22</v>
      </c>
      <c r="B28" s="580" t="s">
        <v>2547</v>
      </c>
      <c r="C28" s="564" t="s">
        <v>718</v>
      </c>
      <c r="D28" s="564" t="s">
        <v>1066</v>
      </c>
      <c r="E28" s="564" t="s">
        <v>1625</v>
      </c>
      <c r="F28" s="564" t="s">
        <v>2553</v>
      </c>
      <c r="G28" s="564"/>
      <c r="H28" s="564">
        <v>55</v>
      </c>
      <c r="I28" s="564" t="s">
        <v>2555</v>
      </c>
      <c r="J28" s="564">
        <v>600</v>
      </c>
    </row>
    <row r="29" spans="1:10" ht="27" customHeight="1">
      <c r="A29" s="565">
        <v>23</v>
      </c>
      <c r="B29" s="580" t="s">
        <v>2548</v>
      </c>
      <c r="C29" s="564" t="s">
        <v>2538</v>
      </c>
      <c r="D29" s="564" t="s">
        <v>2539</v>
      </c>
      <c r="E29" s="564" t="s">
        <v>2540</v>
      </c>
      <c r="F29" s="564" t="s">
        <v>2553</v>
      </c>
      <c r="G29" s="564"/>
      <c r="H29" s="564">
        <v>4.2</v>
      </c>
      <c r="I29" s="579" t="s">
        <v>2556</v>
      </c>
      <c r="J29" s="564">
        <v>2201.85</v>
      </c>
    </row>
    <row r="30" spans="1:10" ht="27" customHeight="1">
      <c r="A30" s="565">
        <v>24</v>
      </c>
      <c r="B30" s="580" t="s">
        <v>2549</v>
      </c>
      <c r="C30" s="564" t="s">
        <v>2538</v>
      </c>
      <c r="D30" s="564" t="s">
        <v>2541</v>
      </c>
      <c r="E30" s="564" t="s">
        <v>2540</v>
      </c>
      <c r="F30" s="564" t="s">
        <v>2553</v>
      </c>
      <c r="G30" s="564"/>
      <c r="H30" s="564">
        <v>3.67</v>
      </c>
      <c r="I30" s="579" t="s">
        <v>2556</v>
      </c>
      <c r="J30" s="564">
        <v>1925</v>
      </c>
    </row>
    <row r="31" spans="1:10" ht="27" customHeight="1">
      <c r="A31" s="565">
        <v>25</v>
      </c>
      <c r="B31" s="580" t="s">
        <v>2542</v>
      </c>
      <c r="C31" s="564" t="s">
        <v>2538</v>
      </c>
      <c r="D31" s="564" t="s">
        <v>2541</v>
      </c>
      <c r="E31" s="564" t="s">
        <v>2540</v>
      </c>
      <c r="F31" s="564" t="s">
        <v>2552</v>
      </c>
      <c r="G31" s="564"/>
      <c r="H31" s="564">
        <v>9.27</v>
      </c>
      <c r="I31" s="564" t="s">
        <v>2555</v>
      </c>
      <c r="J31" s="564">
        <v>2311.28</v>
      </c>
    </row>
  </sheetData>
  <sheetProtection/>
  <mergeCells count="12">
    <mergeCell ref="H3:H5"/>
    <mergeCell ref="J3:J5"/>
    <mergeCell ref="I3:I5"/>
    <mergeCell ref="E3:E5"/>
    <mergeCell ref="F4:F5"/>
    <mergeCell ref="G4:G5"/>
    <mergeCell ref="D3:D5"/>
    <mergeCell ref="A1:J2"/>
    <mergeCell ref="A3:A5"/>
    <mergeCell ref="B3:B5"/>
    <mergeCell ref="C3:C5"/>
    <mergeCell ref="F3:G3"/>
  </mergeCells>
  <printOptions/>
  <pageMargins left="0.3937007874015748" right="0.15748031496062992" top="0.51" bottom="0.7480314960629921" header="0.31496062992125984" footer="0.31496062992125984"/>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tabColor rgb="FFFF0000"/>
  </sheetPr>
  <dimension ref="A1:S11"/>
  <sheetViews>
    <sheetView zoomScalePageLayoutView="0" workbookViewId="0" topLeftCell="A1">
      <selection activeCell="N18" sqref="N18"/>
    </sheetView>
  </sheetViews>
  <sheetFormatPr defaultColWidth="9.00390625" defaultRowHeight="13.5"/>
  <cols>
    <col min="1" max="3" width="9.00390625" style="260" customWidth="1"/>
    <col min="4" max="4" width="11.375" style="260" customWidth="1"/>
    <col min="5" max="5" width="9.00390625" style="260" customWidth="1"/>
    <col min="6" max="6" width="10.875" style="260" customWidth="1"/>
    <col min="7" max="12" width="0" style="260" hidden="1" customWidth="1"/>
    <col min="13" max="13" width="9.00390625" style="260" customWidth="1"/>
    <col min="14" max="14" width="13.875" style="260" customWidth="1"/>
    <col min="15" max="16384" width="9.00390625" style="260" customWidth="1"/>
  </cols>
  <sheetData>
    <row r="1" spans="1:19" ht="18.75">
      <c r="A1" s="852" t="s">
        <v>1144</v>
      </c>
      <c r="B1" s="852"/>
      <c r="C1" s="852"/>
      <c r="D1" s="852"/>
      <c r="E1" s="852"/>
      <c r="F1" s="852"/>
      <c r="G1" s="852"/>
      <c r="H1" s="852"/>
      <c r="I1" s="852"/>
      <c r="J1" s="852"/>
      <c r="K1" s="852"/>
      <c r="L1" s="852"/>
      <c r="M1" s="852"/>
      <c r="N1" s="852"/>
      <c r="O1" s="852"/>
      <c r="P1" s="852"/>
      <c r="Q1" s="852"/>
      <c r="R1" s="852"/>
      <c r="S1" s="852"/>
    </row>
    <row r="2" spans="1:19" ht="13.5">
      <c r="A2" s="751" t="s">
        <v>1092</v>
      </c>
      <c r="B2" s="751" t="s">
        <v>1093</v>
      </c>
      <c r="C2" s="850" t="s">
        <v>1094</v>
      </c>
      <c r="D2" s="751" t="s">
        <v>1095</v>
      </c>
      <c r="E2" s="751"/>
      <c r="F2" s="751"/>
      <c r="G2" s="751"/>
      <c r="H2" s="751"/>
      <c r="I2" s="751"/>
      <c r="J2" s="751"/>
      <c r="K2" s="751"/>
      <c r="L2" s="751"/>
      <c r="M2" s="751"/>
      <c r="N2" s="751"/>
      <c r="O2" s="751"/>
      <c r="P2" s="751"/>
      <c r="Q2" s="751"/>
      <c r="R2" s="751"/>
      <c r="S2" s="751"/>
    </row>
    <row r="3" spans="1:19" ht="13.5" customHeight="1">
      <c r="A3" s="751"/>
      <c r="B3" s="751"/>
      <c r="C3" s="850"/>
      <c r="D3" s="751" t="s">
        <v>1096</v>
      </c>
      <c r="E3" s="850" t="s">
        <v>1097</v>
      </c>
      <c r="F3" s="850" t="s">
        <v>647</v>
      </c>
      <c r="G3" s="850" t="s">
        <v>560</v>
      </c>
      <c r="H3" s="850" t="s">
        <v>561</v>
      </c>
      <c r="I3" s="850" t="s">
        <v>562</v>
      </c>
      <c r="J3" s="850" t="s">
        <v>563</v>
      </c>
      <c r="K3" s="850" t="s">
        <v>564</v>
      </c>
      <c r="L3" s="850" t="s">
        <v>1098</v>
      </c>
      <c r="M3" s="850" t="s">
        <v>1099</v>
      </c>
      <c r="N3" s="850" t="s">
        <v>1100</v>
      </c>
      <c r="O3" s="850" t="s">
        <v>565</v>
      </c>
      <c r="P3" s="850" t="s">
        <v>566</v>
      </c>
      <c r="Q3" s="850" t="s">
        <v>1101</v>
      </c>
      <c r="R3" s="850" t="s">
        <v>1102</v>
      </c>
      <c r="S3" s="853" t="s">
        <v>1103</v>
      </c>
    </row>
    <row r="4" spans="1:19" ht="13.5">
      <c r="A4" s="751"/>
      <c r="B4" s="751"/>
      <c r="C4" s="850"/>
      <c r="D4" s="751"/>
      <c r="E4" s="850"/>
      <c r="F4" s="850"/>
      <c r="G4" s="850"/>
      <c r="H4" s="850"/>
      <c r="I4" s="850"/>
      <c r="J4" s="850"/>
      <c r="K4" s="850"/>
      <c r="L4" s="850"/>
      <c r="M4" s="850"/>
      <c r="N4" s="850"/>
      <c r="O4" s="850"/>
      <c r="P4" s="850"/>
      <c r="Q4" s="850"/>
      <c r="R4" s="850"/>
      <c r="S4" s="853"/>
    </row>
    <row r="5" spans="1:19" ht="13.5">
      <c r="A5" s="751"/>
      <c r="B5" s="751"/>
      <c r="C5" s="850"/>
      <c r="D5" s="751"/>
      <c r="E5" s="850"/>
      <c r="F5" s="850"/>
      <c r="G5" s="850"/>
      <c r="H5" s="850"/>
      <c r="I5" s="850"/>
      <c r="J5" s="850"/>
      <c r="K5" s="850"/>
      <c r="L5" s="850"/>
      <c r="M5" s="850"/>
      <c r="N5" s="850"/>
      <c r="O5" s="850"/>
      <c r="P5" s="850"/>
      <c r="Q5" s="850"/>
      <c r="R5" s="850"/>
      <c r="S5" s="853"/>
    </row>
    <row r="6" spans="1:19" s="451" customFormat="1" ht="13.5">
      <c r="A6" s="448" t="s">
        <v>1766</v>
      </c>
      <c r="B6" s="448"/>
      <c r="C6" s="449"/>
      <c r="D6" s="448"/>
      <c r="E6" s="449"/>
      <c r="F6" s="449"/>
      <c r="G6" s="449"/>
      <c r="H6" s="449"/>
      <c r="I6" s="449"/>
      <c r="J6" s="449"/>
      <c r="K6" s="449"/>
      <c r="L6" s="449"/>
      <c r="M6" s="449"/>
      <c r="N6" s="449"/>
      <c r="O6" s="450">
        <f>SUM(O7:O11)</f>
        <v>3091.01</v>
      </c>
      <c r="P6" s="450">
        <f>SUM(P7:P11)</f>
        <v>2282.5</v>
      </c>
      <c r="Q6" s="450">
        <f>SUM(Q7:Q11)</f>
        <v>450</v>
      </c>
      <c r="R6" s="450">
        <f>SUM(R7:R11)</f>
        <v>17.56</v>
      </c>
      <c r="S6" s="450">
        <f>SUM(S7:S11)</f>
        <v>8500</v>
      </c>
    </row>
    <row r="7" spans="1:19" ht="22.5">
      <c r="A7" s="755" t="s">
        <v>1104</v>
      </c>
      <c r="B7" s="751">
        <v>532300</v>
      </c>
      <c r="C7" s="751" t="s">
        <v>1105</v>
      </c>
      <c r="D7" s="452" t="s">
        <v>1106</v>
      </c>
      <c r="E7" s="452" t="s">
        <v>1107</v>
      </c>
      <c r="F7" s="452" t="s">
        <v>1108</v>
      </c>
      <c r="G7" s="452" t="s">
        <v>1109</v>
      </c>
      <c r="H7" s="452" t="s">
        <v>1110</v>
      </c>
      <c r="I7" s="452" t="s">
        <v>1111</v>
      </c>
      <c r="J7" s="452" t="s">
        <v>1112</v>
      </c>
      <c r="K7" s="452" t="s">
        <v>1113</v>
      </c>
      <c r="L7" s="452" t="s">
        <v>1114</v>
      </c>
      <c r="M7" s="452" t="s">
        <v>1115</v>
      </c>
      <c r="N7" s="453" t="s">
        <v>1116</v>
      </c>
      <c r="O7" s="333">
        <v>1370</v>
      </c>
      <c r="P7" s="333">
        <v>1140</v>
      </c>
      <c r="Q7" s="262">
        <v>90</v>
      </c>
      <c r="R7" s="262">
        <v>10</v>
      </c>
      <c r="S7" s="454">
        <v>2200</v>
      </c>
    </row>
    <row r="8" spans="1:19" ht="33.75">
      <c r="A8" s="851"/>
      <c r="B8" s="751"/>
      <c r="C8" s="751"/>
      <c r="D8" s="452" t="s">
        <v>1117</v>
      </c>
      <c r="E8" s="452" t="s">
        <v>1107</v>
      </c>
      <c r="F8" s="452" t="s">
        <v>1118</v>
      </c>
      <c r="G8" s="452" t="s">
        <v>1109</v>
      </c>
      <c r="H8" s="452" t="s">
        <v>1110</v>
      </c>
      <c r="I8" s="452" t="s">
        <v>1111</v>
      </c>
      <c r="J8" s="452" t="s">
        <v>1112</v>
      </c>
      <c r="K8" s="452" t="s">
        <v>1113</v>
      </c>
      <c r="L8" s="452" t="s">
        <v>1114</v>
      </c>
      <c r="M8" s="452" t="s">
        <v>1119</v>
      </c>
      <c r="N8" s="48" t="s">
        <v>1120</v>
      </c>
      <c r="O8" s="455">
        <v>1120</v>
      </c>
      <c r="P8" s="333">
        <v>932</v>
      </c>
      <c r="Q8" s="262">
        <v>90</v>
      </c>
      <c r="R8" s="262">
        <v>4.5</v>
      </c>
      <c r="S8" s="454">
        <v>2500</v>
      </c>
    </row>
    <row r="9" spans="1:19" ht="22.5">
      <c r="A9" s="851"/>
      <c r="B9" s="751"/>
      <c r="C9" s="751"/>
      <c r="D9" s="452" t="s">
        <v>1121</v>
      </c>
      <c r="E9" s="452" t="s">
        <v>1107</v>
      </c>
      <c r="F9" s="452" t="s">
        <v>1122</v>
      </c>
      <c r="G9" s="452" t="s">
        <v>1109</v>
      </c>
      <c r="H9" s="452" t="s">
        <v>1110</v>
      </c>
      <c r="I9" s="452" t="s">
        <v>1111</v>
      </c>
      <c r="J9" s="452" t="s">
        <v>1112</v>
      </c>
      <c r="K9" s="452" t="s">
        <v>1123</v>
      </c>
      <c r="L9" s="452" t="s">
        <v>1114</v>
      </c>
      <c r="M9" s="452" t="s">
        <v>1124</v>
      </c>
      <c r="N9" s="48" t="s">
        <v>1125</v>
      </c>
      <c r="O9" s="333">
        <v>213</v>
      </c>
      <c r="P9" s="333">
        <v>177</v>
      </c>
      <c r="Q9" s="262">
        <v>90</v>
      </c>
      <c r="R9" s="262">
        <v>0.9</v>
      </c>
      <c r="S9" s="454">
        <v>1500</v>
      </c>
    </row>
    <row r="10" spans="1:19" ht="22.5">
      <c r="A10" s="851"/>
      <c r="B10" s="267">
        <v>532302</v>
      </c>
      <c r="C10" s="267" t="s">
        <v>1335</v>
      </c>
      <c r="D10" s="261" t="s">
        <v>1336</v>
      </c>
      <c r="E10" s="452" t="s">
        <v>1328</v>
      </c>
      <c r="F10" s="452" t="s">
        <v>1337</v>
      </c>
      <c r="G10" s="452" t="s">
        <v>1329</v>
      </c>
      <c r="H10" s="452" t="s">
        <v>1330</v>
      </c>
      <c r="I10" s="452" t="s">
        <v>1331</v>
      </c>
      <c r="J10" s="452" t="s">
        <v>1332</v>
      </c>
      <c r="K10" s="452" t="s">
        <v>1333</v>
      </c>
      <c r="L10" s="452" t="s">
        <v>1338</v>
      </c>
      <c r="M10" s="452" t="s">
        <v>1339</v>
      </c>
      <c r="N10" s="48" t="s">
        <v>1340</v>
      </c>
      <c r="O10" s="455">
        <v>126.01</v>
      </c>
      <c r="P10" s="333">
        <v>31</v>
      </c>
      <c r="Q10" s="333">
        <v>90</v>
      </c>
      <c r="R10" s="455">
        <v>1.8</v>
      </c>
      <c r="S10" s="454">
        <v>1000</v>
      </c>
    </row>
    <row r="11" spans="1:19" ht="33.75">
      <c r="A11" s="756"/>
      <c r="B11" s="267">
        <v>532303</v>
      </c>
      <c r="C11" s="261" t="s">
        <v>1344</v>
      </c>
      <c r="D11" s="452" t="s">
        <v>1696</v>
      </c>
      <c r="E11" s="452" t="s">
        <v>1328</v>
      </c>
      <c r="F11" s="452" t="s">
        <v>1696</v>
      </c>
      <c r="G11" s="452" t="s">
        <v>1329</v>
      </c>
      <c r="H11" s="452" t="s">
        <v>1330</v>
      </c>
      <c r="I11" s="452" t="s">
        <v>1331</v>
      </c>
      <c r="J11" s="452" t="s">
        <v>1332</v>
      </c>
      <c r="K11" s="452" t="s">
        <v>1333</v>
      </c>
      <c r="L11" s="452" t="s">
        <v>1697</v>
      </c>
      <c r="M11" s="452" t="s">
        <v>567</v>
      </c>
      <c r="N11" s="48" t="s">
        <v>1698</v>
      </c>
      <c r="O11" s="333">
        <v>262</v>
      </c>
      <c r="P11" s="333">
        <v>2.5</v>
      </c>
      <c r="Q11" s="262">
        <v>90</v>
      </c>
      <c r="R11" s="262">
        <v>0.36</v>
      </c>
      <c r="S11" s="454">
        <v>1300</v>
      </c>
    </row>
  </sheetData>
  <sheetProtection/>
  <mergeCells count="24">
    <mergeCell ref="A1:S1"/>
    <mergeCell ref="A2:A5"/>
    <mergeCell ref="B2:B5"/>
    <mergeCell ref="C2:C5"/>
    <mergeCell ref="D2:S2"/>
    <mergeCell ref="S3:S5"/>
    <mergeCell ref="R3:R5"/>
    <mergeCell ref="O3:O5"/>
    <mergeCell ref="K3:K5"/>
    <mergeCell ref="D3:D5"/>
    <mergeCell ref="Q3:Q5"/>
    <mergeCell ref="B7:B9"/>
    <mergeCell ref="G3:G5"/>
    <mergeCell ref="H3:H5"/>
    <mergeCell ref="I3:I5"/>
    <mergeCell ref="C7:C9"/>
    <mergeCell ref="E3:E5"/>
    <mergeCell ref="F3:F5"/>
    <mergeCell ref="L3:L5"/>
    <mergeCell ref="J3:J5"/>
    <mergeCell ref="A7:A11"/>
    <mergeCell ref="M3:M5"/>
    <mergeCell ref="N3:N5"/>
    <mergeCell ref="P3:P5"/>
  </mergeCells>
  <printOptions horizontalCentered="1"/>
  <pageMargins left="0.7086614173228347" right="0.2362204724409449"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0000"/>
  </sheetPr>
  <dimension ref="A1:W90"/>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L43" sqref="L43"/>
    </sheetView>
  </sheetViews>
  <sheetFormatPr defaultColWidth="9.00390625" defaultRowHeight="13.5"/>
  <cols>
    <col min="1" max="1" width="6.375" style="0" customWidth="1"/>
    <col min="4" max="4" width="0" style="0" hidden="1" customWidth="1"/>
    <col min="6" max="6" width="0" style="0" hidden="1" customWidth="1"/>
    <col min="23" max="23" width="0" style="0" hidden="1" customWidth="1"/>
  </cols>
  <sheetData>
    <row r="1" spans="1:23" ht="18.75">
      <c r="A1" s="721" t="s">
        <v>1166</v>
      </c>
      <c r="B1" s="856"/>
      <c r="C1" s="856"/>
      <c r="D1" s="856"/>
      <c r="E1" s="856"/>
      <c r="F1" s="856"/>
      <c r="G1" s="856"/>
      <c r="H1" s="856"/>
      <c r="I1" s="856"/>
      <c r="J1" s="856"/>
      <c r="K1" s="856"/>
      <c r="L1" s="856"/>
      <c r="M1" s="856"/>
      <c r="N1" s="856"/>
      <c r="O1" s="856"/>
      <c r="P1" s="856"/>
      <c r="Q1" s="856"/>
      <c r="R1" s="856"/>
      <c r="S1" s="856"/>
      <c r="T1" s="856"/>
      <c r="U1" s="856"/>
      <c r="V1" s="856"/>
      <c r="W1" s="856"/>
    </row>
    <row r="2" spans="1:23" ht="13.5">
      <c r="A2" s="50"/>
      <c r="B2" s="51"/>
      <c r="C2" s="50"/>
      <c r="D2" s="50"/>
      <c r="E2" s="50"/>
      <c r="F2" s="50"/>
      <c r="G2" s="50"/>
      <c r="H2" s="50"/>
      <c r="I2" s="50"/>
      <c r="J2" s="50"/>
      <c r="K2" s="50"/>
      <c r="L2" s="50"/>
      <c r="M2" s="50"/>
      <c r="N2" s="50"/>
      <c r="O2" s="50"/>
      <c r="P2" s="50"/>
      <c r="Q2" s="50"/>
      <c r="R2" s="50"/>
      <c r="S2" s="50"/>
      <c r="T2" s="50"/>
      <c r="U2" s="50"/>
      <c r="V2" s="50"/>
      <c r="W2" s="50"/>
    </row>
    <row r="3" spans="1:23" ht="13.5" customHeight="1">
      <c r="A3" s="857" t="s">
        <v>1126</v>
      </c>
      <c r="B3" s="858" t="s">
        <v>1145</v>
      </c>
      <c r="C3" s="859"/>
      <c r="D3" s="859"/>
      <c r="E3" s="860"/>
      <c r="F3" s="857" t="s">
        <v>1146</v>
      </c>
      <c r="G3" s="857"/>
      <c r="H3" s="857"/>
      <c r="I3" s="861" t="s">
        <v>1147</v>
      </c>
      <c r="J3" s="862"/>
      <c r="K3" s="863"/>
      <c r="L3" s="857" t="s">
        <v>1148</v>
      </c>
      <c r="M3" s="857"/>
      <c r="N3" s="857"/>
      <c r="O3" s="857"/>
      <c r="P3" s="857"/>
      <c r="Q3" s="857"/>
      <c r="R3" s="857"/>
      <c r="S3" s="857"/>
      <c r="T3" s="857"/>
      <c r="U3" s="857"/>
      <c r="V3" s="857"/>
      <c r="W3" s="857" t="s">
        <v>1138</v>
      </c>
    </row>
    <row r="4" spans="1:23" ht="13.5">
      <c r="A4" s="857"/>
      <c r="B4" s="854" t="s">
        <v>1145</v>
      </c>
      <c r="C4" s="854" t="s">
        <v>663</v>
      </c>
      <c r="D4" s="854" t="s">
        <v>739</v>
      </c>
      <c r="E4" s="854" t="s">
        <v>1149</v>
      </c>
      <c r="F4" s="854" t="s">
        <v>1129</v>
      </c>
      <c r="G4" s="854" t="s">
        <v>1150</v>
      </c>
      <c r="H4" s="854" t="s">
        <v>1151</v>
      </c>
      <c r="I4" s="854" t="s">
        <v>1147</v>
      </c>
      <c r="J4" s="854" t="s">
        <v>1152</v>
      </c>
      <c r="K4" s="854" t="s">
        <v>1153</v>
      </c>
      <c r="L4" s="864" t="s">
        <v>1154</v>
      </c>
      <c r="M4" s="864" t="s">
        <v>1155</v>
      </c>
      <c r="N4" s="864" t="s">
        <v>1156</v>
      </c>
      <c r="O4" s="864" t="s">
        <v>1157</v>
      </c>
      <c r="P4" s="865" t="s">
        <v>1158</v>
      </c>
      <c r="Q4" s="864" t="s">
        <v>1159</v>
      </c>
      <c r="R4" s="864" t="s">
        <v>1160</v>
      </c>
      <c r="S4" s="864"/>
      <c r="T4" s="864" t="s">
        <v>1161</v>
      </c>
      <c r="U4" s="864" t="s">
        <v>1162</v>
      </c>
      <c r="V4" s="864" t="s">
        <v>1163</v>
      </c>
      <c r="W4" s="857"/>
    </row>
    <row r="5" spans="1:23" ht="24">
      <c r="A5" s="857"/>
      <c r="B5" s="855"/>
      <c r="C5" s="855"/>
      <c r="D5" s="855"/>
      <c r="E5" s="855"/>
      <c r="F5" s="855"/>
      <c r="G5" s="855"/>
      <c r="H5" s="855"/>
      <c r="I5" s="855"/>
      <c r="J5" s="855"/>
      <c r="K5" s="855"/>
      <c r="L5" s="864"/>
      <c r="M5" s="864"/>
      <c r="N5" s="864"/>
      <c r="O5" s="864"/>
      <c r="P5" s="866"/>
      <c r="Q5" s="864"/>
      <c r="R5" s="140" t="s">
        <v>1164</v>
      </c>
      <c r="S5" s="141" t="s">
        <v>1165</v>
      </c>
      <c r="T5" s="864"/>
      <c r="U5" s="864"/>
      <c r="V5" s="864"/>
      <c r="W5" s="857"/>
    </row>
    <row r="6" spans="1:23" ht="13.5">
      <c r="A6" s="142">
        <v>-1</v>
      </c>
      <c r="B6" s="143">
        <v>-2</v>
      </c>
      <c r="C6" s="142">
        <v>-3</v>
      </c>
      <c r="D6" s="142">
        <v>-4</v>
      </c>
      <c r="E6" s="142">
        <v>-5</v>
      </c>
      <c r="F6" s="142">
        <v>-6</v>
      </c>
      <c r="G6" s="142">
        <v>-7</v>
      </c>
      <c r="H6" s="142">
        <v>-8</v>
      </c>
      <c r="I6" s="142">
        <v>-9</v>
      </c>
      <c r="J6" s="142">
        <v>-10</v>
      </c>
      <c r="K6" s="142">
        <v>-11</v>
      </c>
      <c r="L6" s="142">
        <v>-12</v>
      </c>
      <c r="M6" s="142">
        <v>-13</v>
      </c>
      <c r="N6" s="142">
        <v>-14</v>
      </c>
      <c r="O6" s="142">
        <v>-15</v>
      </c>
      <c r="P6" s="142">
        <v>-16</v>
      </c>
      <c r="Q6" s="142">
        <v>-17</v>
      </c>
      <c r="R6" s="142">
        <v>-18</v>
      </c>
      <c r="S6" s="142">
        <v>-19</v>
      </c>
      <c r="T6" s="142">
        <v>-20</v>
      </c>
      <c r="U6" s="142">
        <v>-21</v>
      </c>
      <c r="V6" s="142">
        <v>-22</v>
      </c>
      <c r="W6" s="142">
        <v>-24</v>
      </c>
    </row>
    <row r="7" spans="1:23" ht="13.5">
      <c r="A7" s="144" t="s">
        <v>1140</v>
      </c>
      <c r="B7" s="145"/>
      <c r="C7" s="144"/>
      <c r="D7" s="144"/>
      <c r="E7" s="144"/>
      <c r="F7" s="144" t="s">
        <v>1142</v>
      </c>
      <c r="G7" s="144"/>
      <c r="H7" s="144"/>
      <c r="I7" s="144"/>
      <c r="J7" s="146">
        <f>SUM(J8:J72)</f>
        <v>37.79890000000001</v>
      </c>
      <c r="K7" s="146">
        <f aca="true" t="shared" si="0" ref="K7:V7">SUM(K8:K72)</f>
        <v>154793.856</v>
      </c>
      <c r="L7" s="146">
        <f t="shared" si="0"/>
        <v>449.28000000000003</v>
      </c>
      <c r="M7" s="146">
        <f t="shared" si="0"/>
        <v>432.48</v>
      </c>
      <c r="N7" s="146">
        <f t="shared" si="0"/>
        <v>392.98</v>
      </c>
      <c r="O7" s="146">
        <f t="shared" si="0"/>
        <v>276.058</v>
      </c>
      <c r="P7" s="146">
        <f t="shared" si="0"/>
        <v>0.81</v>
      </c>
      <c r="Q7" s="146">
        <f t="shared" si="0"/>
        <v>341</v>
      </c>
      <c r="R7" s="146">
        <f t="shared" si="0"/>
        <v>314.5</v>
      </c>
      <c r="S7" s="146">
        <f t="shared" si="0"/>
        <v>489</v>
      </c>
      <c r="T7" s="146">
        <f t="shared" si="0"/>
        <v>250</v>
      </c>
      <c r="U7" s="146">
        <f t="shared" si="0"/>
        <v>269</v>
      </c>
      <c r="V7" s="146">
        <f t="shared" si="0"/>
        <v>81692</v>
      </c>
      <c r="W7" s="144"/>
    </row>
    <row r="8" spans="1:23" ht="24">
      <c r="A8" s="127">
        <v>1</v>
      </c>
      <c r="B8" s="106" t="s">
        <v>1346</v>
      </c>
      <c r="C8" s="127" t="s">
        <v>1347</v>
      </c>
      <c r="D8" s="106" t="s">
        <v>1341</v>
      </c>
      <c r="E8" s="106" t="s">
        <v>1342</v>
      </c>
      <c r="F8" s="127" t="s">
        <v>1325</v>
      </c>
      <c r="G8" s="127" t="s">
        <v>1298</v>
      </c>
      <c r="H8" s="106" t="s">
        <v>1348</v>
      </c>
      <c r="I8" s="106" t="s">
        <v>1349</v>
      </c>
      <c r="J8" s="127">
        <v>0.41</v>
      </c>
      <c r="K8" s="127">
        <v>0.21</v>
      </c>
      <c r="L8" s="127">
        <v>4.2</v>
      </c>
      <c r="M8" s="127">
        <v>1.8</v>
      </c>
      <c r="N8" s="127">
        <v>1.2</v>
      </c>
      <c r="O8" s="127">
        <v>4.2</v>
      </c>
      <c r="P8" s="127">
        <v>0.81</v>
      </c>
      <c r="Q8" s="127">
        <v>2</v>
      </c>
      <c r="R8" s="127">
        <v>5</v>
      </c>
      <c r="S8" s="127">
        <v>6</v>
      </c>
      <c r="T8" s="127">
        <v>1</v>
      </c>
      <c r="U8" s="127">
        <v>1</v>
      </c>
      <c r="V8" s="127">
        <v>730</v>
      </c>
      <c r="W8" s="131"/>
    </row>
    <row r="9" spans="1:23" ht="36">
      <c r="A9" s="127">
        <v>2</v>
      </c>
      <c r="B9" s="106" t="s">
        <v>1350</v>
      </c>
      <c r="C9" s="127" t="s">
        <v>1343</v>
      </c>
      <c r="D9" s="106" t="s">
        <v>1341</v>
      </c>
      <c r="E9" s="106" t="s">
        <v>1344</v>
      </c>
      <c r="F9" s="127" t="s">
        <v>1325</v>
      </c>
      <c r="G9" s="127" t="s">
        <v>1298</v>
      </c>
      <c r="H9" s="106" t="s">
        <v>1351</v>
      </c>
      <c r="I9" s="106" t="s">
        <v>1352</v>
      </c>
      <c r="J9" s="127">
        <v>0.078</v>
      </c>
      <c r="K9" s="127">
        <v>0.036</v>
      </c>
      <c r="L9" s="127">
        <v>1.8</v>
      </c>
      <c r="M9" s="127">
        <v>2.2</v>
      </c>
      <c r="N9" s="127">
        <v>1.8</v>
      </c>
      <c r="O9" s="127">
        <v>1.8</v>
      </c>
      <c r="P9" s="127"/>
      <c r="Q9" s="127">
        <v>1</v>
      </c>
      <c r="R9" s="127">
        <v>5</v>
      </c>
      <c r="S9" s="127">
        <v>4</v>
      </c>
      <c r="T9" s="127">
        <v>2</v>
      </c>
      <c r="U9" s="127">
        <v>3</v>
      </c>
      <c r="V9" s="127">
        <f>L9*150</f>
        <v>270</v>
      </c>
      <c r="W9" s="131"/>
    </row>
    <row r="10" spans="1:23" ht="72">
      <c r="A10" s="127">
        <v>3</v>
      </c>
      <c r="B10" s="106" t="s">
        <v>1353</v>
      </c>
      <c r="C10" s="131" t="s">
        <v>1335</v>
      </c>
      <c r="D10" s="106" t="s">
        <v>1341</v>
      </c>
      <c r="E10" s="131" t="s">
        <v>1335</v>
      </c>
      <c r="F10" s="127" t="s">
        <v>1325</v>
      </c>
      <c r="G10" s="127" t="s">
        <v>1298</v>
      </c>
      <c r="H10" s="129" t="s">
        <v>1354</v>
      </c>
      <c r="I10" s="119" t="s">
        <v>1355</v>
      </c>
      <c r="J10" s="147">
        <v>0.3</v>
      </c>
      <c r="K10" s="131">
        <v>0.29</v>
      </c>
      <c r="L10" s="131">
        <v>8</v>
      </c>
      <c r="M10" s="131">
        <v>2.2</v>
      </c>
      <c r="N10" s="131">
        <v>1.8</v>
      </c>
      <c r="O10" s="131">
        <v>2.2</v>
      </c>
      <c r="P10" s="131"/>
      <c r="Q10" s="131">
        <v>4</v>
      </c>
      <c r="R10" s="131">
        <v>8</v>
      </c>
      <c r="S10" s="131">
        <v>6</v>
      </c>
      <c r="T10" s="131">
        <v>3</v>
      </c>
      <c r="U10" s="131">
        <v>4</v>
      </c>
      <c r="V10" s="131">
        <v>420</v>
      </c>
      <c r="W10" s="131"/>
    </row>
    <row r="11" spans="1:23" ht="24">
      <c r="A11" s="127">
        <v>4</v>
      </c>
      <c r="B11" s="119" t="s">
        <v>1356</v>
      </c>
      <c r="C11" s="127" t="s">
        <v>1347</v>
      </c>
      <c r="D11" s="106" t="s">
        <v>1341</v>
      </c>
      <c r="E11" s="127" t="s">
        <v>1357</v>
      </c>
      <c r="F11" s="127" t="s">
        <v>1325</v>
      </c>
      <c r="G11" s="127" t="s">
        <v>1298</v>
      </c>
      <c r="H11" s="106" t="s">
        <v>1358</v>
      </c>
      <c r="I11" s="106" t="s">
        <v>1359</v>
      </c>
      <c r="J11" s="127">
        <v>0.26</v>
      </c>
      <c r="K11" s="127">
        <v>0.11</v>
      </c>
      <c r="L11" s="127">
        <v>4</v>
      </c>
      <c r="M11" s="148">
        <v>2</v>
      </c>
      <c r="N11" s="148">
        <v>1</v>
      </c>
      <c r="O11" s="148">
        <v>1.2</v>
      </c>
      <c r="P11" s="127"/>
      <c r="Q11" s="127">
        <v>3</v>
      </c>
      <c r="R11" s="127">
        <v>1.5</v>
      </c>
      <c r="S11" s="127">
        <v>5</v>
      </c>
      <c r="T11" s="127">
        <v>2</v>
      </c>
      <c r="U11" s="127">
        <v>2</v>
      </c>
      <c r="V11" s="127">
        <v>198</v>
      </c>
      <c r="W11" s="127"/>
    </row>
    <row r="12" spans="1:23" ht="36">
      <c r="A12" s="127">
        <v>5</v>
      </c>
      <c r="B12" s="119" t="s">
        <v>1360</v>
      </c>
      <c r="C12" s="127" t="s">
        <v>1347</v>
      </c>
      <c r="D12" s="106" t="s">
        <v>1341</v>
      </c>
      <c r="E12" s="127" t="s">
        <v>1361</v>
      </c>
      <c r="F12" s="127" t="s">
        <v>1325</v>
      </c>
      <c r="G12" s="127" t="s">
        <v>1298</v>
      </c>
      <c r="H12" s="106" t="s">
        <v>1362</v>
      </c>
      <c r="I12" s="106" t="s">
        <v>1363</v>
      </c>
      <c r="J12" s="127">
        <v>0.24</v>
      </c>
      <c r="K12" s="127">
        <v>0.13</v>
      </c>
      <c r="L12" s="127">
        <v>3.5</v>
      </c>
      <c r="M12" s="148">
        <v>3</v>
      </c>
      <c r="N12" s="148">
        <v>1</v>
      </c>
      <c r="O12" s="148">
        <v>1.5</v>
      </c>
      <c r="P12" s="127"/>
      <c r="Q12" s="127">
        <v>3</v>
      </c>
      <c r="R12" s="127">
        <v>4</v>
      </c>
      <c r="S12" s="127">
        <v>5</v>
      </c>
      <c r="T12" s="127">
        <v>2</v>
      </c>
      <c r="U12" s="127">
        <v>2</v>
      </c>
      <c r="V12" s="127">
        <v>240</v>
      </c>
      <c r="W12" s="127"/>
    </row>
    <row r="13" spans="1:23" ht="48">
      <c r="A13" s="127">
        <v>6</v>
      </c>
      <c r="B13" s="119" t="s">
        <v>1364</v>
      </c>
      <c r="C13" s="127" t="s">
        <v>1365</v>
      </c>
      <c r="D13" s="106" t="s">
        <v>1341</v>
      </c>
      <c r="E13" s="127" t="s">
        <v>1345</v>
      </c>
      <c r="F13" s="127" t="s">
        <v>1325</v>
      </c>
      <c r="G13" s="127" t="s">
        <v>1298</v>
      </c>
      <c r="H13" s="106" t="s">
        <v>1366</v>
      </c>
      <c r="I13" s="106" t="s">
        <v>1367</v>
      </c>
      <c r="J13" s="148">
        <v>0.08</v>
      </c>
      <c r="K13" s="148">
        <v>0.08</v>
      </c>
      <c r="L13" s="148">
        <v>3.3</v>
      </c>
      <c r="M13" s="148">
        <v>1.8</v>
      </c>
      <c r="N13" s="148">
        <v>1.2</v>
      </c>
      <c r="O13" s="148">
        <v>1</v>
      </c>
      <c r="P13" s="127"/>
      <c r="Q13" s="127">
        <v>2</v>
      </c>
      <c r="R13" s="127">
        <v>6</v>
      </c>
      <c r="S13" s="127">
        <v>2</v>
      </c>
      <c r="T13" s="127">
        <v>1</v>
      </c>
      <c r="U13" s="127">
        <v>1</v>
      </c>
      <c r="V13" s="127">
        <v>120</v>
      </c>
      <c r="W13" s="127"/>
    </row>
    <row r="14" spans="1:23" ht="36">
      <c r="A14" s="127">
        <v>7</v>
      </c>
      <c r="B14" s="119" t="s">
        <v>1368</v>
      </c>
      <c r="C14" s="127" t="s">
        <v>1365</v>
      </c>
      <c r="D14" s="106" t="s">
        <v>1341</v>
      </c>
      <c r="E14" s="127" t="s">
        <v>1369</v>
      </c>
      <c r="F14" s="127" t="s">
        <v>1325</v>
      </c>
      <c r="G14" s="127" t="s">
        <v>1298</v>
      </c>
      <c r="H14" s="127" t="s">
        <v>1370</v>
      </c>
      <c r="I14" s="106" t="s">
        <v>1371</v>
      </c>
      <c r="J14" s="148">
        <v>0.13</v>
      </c>
      <c r="K14" s="148">
        <v>0.1</v>
      </c>
      <c r="L14" s="148">
        <v>3</v>
      </c>
      <c r="M14" s="148">
        <v>2</v>
      </c>
      <c r="N14" s="148">
        <v>1</v>
      </c>
      <c r="O14" s="148">
        <v>0.6</v>
      </c>
      <c r="P14" s="127"/>
      <c r="Q14" s="127">
        <v>2</v>
      </c>
      <c r="R14" s="127">
        <v>8</v>
      </c>
      <c r="S14" s="127">
        <v>2</v>
      </c>
      <c r="T14" s="127">
        <v>0</v>
      </c>
      <c r="U14" s="127">
        <v>1</v>
      </c>
      <c r="V14" s="127">
        <v>160</v>
      </c>
      <c r="W14" s="127"/>
    </row>
    <row r="15" spans="1:23" ht="36">
      <c r="A15" s="127">
        <v>8</v>
      </c>
      <c r="B15" s="119" t="s">
        <v>1346</v>
      </c>
      <c r="C15" s="127" t="s">
        <v>1347</v>
      </c>
      <c r="D15" s="106" t="s">
        <v>1341</v>
      </c>
      <c r="E15" s="127" t="s">
        <v>1342</v>
      </c>
      <c r="F15" s="127" t="s">
        <v>1325</v>
      </c>
      <c r="G15" s="127" t="s">
        <v>1298</v>
      </c>
      <c r="H15" s="106" t="s">
        <v>1372</v>
      </c>
      <c r="I15" s="106" t="s">
        <v>1373</v>
      </c>
      <c r="J15" s="148">
        <v>0.3</v>
      </c>
      <c r="K15" s="148">
        <v>0.2</v>
      </c>
      <c r="L15" s="148">
        <v>9</v>
      </c>
      <c r="M15" s="148">
        <v>5</v>
      </c>
      <c r="N15" s="148">
        <v>1</v>
      </c>
      <c r="O15" s="148">
        <v>1.2</v>
      </c>
      <c r="P15" s="127"/>
      <c r="Q15" s="127">
        <v>9</v>
      </c>
      <c r="R15" s="127">
        <v>4</v>
      </c>
      <c r="S15" s="127">
        <v>9</v>
      </c>
      <c r="T15" s="127">
        <v>3</v>
      </c>
      <c r="U15" s="127">
        <v>3</v>
      </c>
      <c r="V15" s="127">
        <v>480</v>
      </c>
      <c r="W15" s="127"/>
    </row>
    <row r="16" spans="1:23" ht="36">
      <c r="A16" s="127">
        <v>9</v>
      </c>
      <c r="B16" s="106" t="s">
        <v>1412</v>
      </c>
      <c r="C16" s="106" t="s">
        <v>1344</v>
      </c>
      <c r="D16" s="106" t="s">
        <v>1341</v>
      </c>
      <c r="E16" s="106" t="s">
        <v>1413</v>
      </c>
      <c r="F16" s="106" t="s">
        <v>1325</v>
      </c>
      <c r="G16" s="106" t="s">
        <v>1390</v>
      </c>
      <c r="H16" s="106" t="s">
        <v>1414</v>
      </c>
      <c r="I16" s="106" t="s">
        <v>1410</v>
      </c>
      <c r="J16" s="106">
        <v>0.7463</v>
      </c>
      <c r="K16" s="106">
        <v>3325</v>
      </c>
      <c r="L16" s="106">
        <v>25</v>
      </c>
      <c r="M16" s="106">
        <v>25</v>
      </c>
      <c r="N16" s="106">
        <v>20</v>
      </c>
      <c r="O16" s="106">
        <v>20</v>
      </c>
      <c r="P16" s="106"/>
      <c r="Q16" s="106">
        <v>5</v>
      </c>
      <c r="R16" s="106">
        <v>5</v>
      </c>
      <c r="S16" s="106">
        <v>4</v>
      </c>
      <c r="T16" s="106">
        <v>3</v>
      </c>
      <c r="U16" s="106">
        <v>6</v>
      </c>
      <c r="V16" s="106">
        <f>L16*300</f>
        <v>7500</v>
      </c>
      <c r="W16" s="124"/>
    </row>
    <row r="17" spans="1:23" ht="24">
      <c r="A17" s="127">
        <v>10</v>
      </c>
      <c r="B17" s="106" t="s">
        <v>1415</v>
      </c>
      <c r="C17" s="106" t="s">
        <v>1343</v>
      </c>
      <c r="D17" s="106" t="s">
        <v>1341</v>
      </c>
      <c r="E17" s="106" t="s">
        <v>1411</v>
      </c>
      <c r="F17" s="106" t="s">
        <v>1325</v>
      </c>
      <c r="G17" s="106" t="s">
        <v>1390</v>
      </c>
      <c r="H17" s="106" t="s">
        <v>1416</v>
      </c>
      <c r="I17" s="106" t="s">
        <v>1410</v>
      </c>
      <c r="J17" s="106">
        <v>0.538</v>
      </c>
      <c r="K17" s="106">
        <v>4906</v>
      </c>
      <c r="L17" s="106">
        <v>15</v>
      </c>
      <c r="M17" s="106">
        <v>15</v>
      </c>
      <c r="N17" s="106">
        <v>15</v>
      </c>
      <c r="O17" s="106">
        <v>15</v>
      </c>
      <c r="P17" s="106"/>
      <c r="Q17" s="106">
        <v>5</v>
      </c>
      <c r="R17" s="106">
        <v>5</v>
      </c>
      <c r="S17" s="106">
        <v>4</v>
      </c>
      <c r="T17" s="106">
        <v>3</v>
      </c>
      <c r="U17" s="106">
        <v>6</v>
      </c>
      <c r="V17" s="106">
        <f>L17*150</f>
        <v>2250</v>
      </c>
      <c r="W17" s="124"/>
    </row>
    <row r="18" spans="1:23" ht="24">
      <c r="A18" s="127">
        <v>11</v>
      </c>
      <c r="B18" s="106" t="s">
        <v>1417</v>
      </c>
      <c r="C18" s="106" t="s">
        <v>1343</v>
      </c>
      <c r="D18" s="106" t="s">
        <v>1341</v>
      </c>
      <c r="E18" s="106" t="s">
        <v>1418</v>
      </c>
      <c r="F18" s="106" t="s">
        <v>1325</v>
      </c>
      <c r="G18" s="106" t="s">
        <v>1390</v>
      </c>
      <c r="H18" s="106" t="s">
        <v>1419</v>
      </c>
      <c r="I18" s="106" t="s">
        <v>1410</v>
      </c>
      <c r="J18" s="106">
        <v>0.3218</v>
      </c>
      <c r="K18" s="106">
        <v>2850</v>
      </c>
      <c r="L18" s="106">
        <v>9</v>
      </c>
      <c r="M18" s="106">
        <v>9</v>
      </c>
      <c r="N18" s="106">
        <v>6</v>
      </c>
      <c r="O18" s="106">
        <v>6</v>
      </c>
      <c r="P18" s="106"/>
      <c r="Q18" s="106">
        <v>5</v>
      </c>
      <c r="R18" s="106">
        <v>5</v>
      </c>
      <c r="S18" s="106">
        <v>4</v>
      </c>
      <c r="T18" s="106">
        <v>3</v>
      </c>
      <c r="U18" s="106">
        <v>6</v>
      </c>
      <c r="V18" s="106">
        <f>L18*150</f>
        <v>1350</v>
      </c>
      <c r="W18" s="124"/>
    </row>
    <row r="19" spans="1:23" ht="24">
      <c r="A19" s="127">
        <v>12</v>
      </c>
      <c r="B19" s="106" t="s">
        <v>1420</v>
      </c>
      <c r="C19" s="106" t="s">
        <v>1343</v>
      </c>
      <c r="D19" s="106" t="s">
        <v>1341</v>
      </c>
      <c r="E19" s="106" t="s">
        <v>1421</v>
      </c>
      <c r="F19" s="106" t="s">
        <v>1325</v>
      </c>
      <c r="G19" s="106" t="s">
        <v>1390</v>
      </c>
      <c r="H19" s="106" t="s">
        <v>1422</v>
      </c>
      <c r="I19" s="106" t="s">
        <v>1410</v>
      </c>
      <c r="J19" s="106">
        <v>0.121</v>
      </c>
      <c r="K19" s="106">
        <v>956</v>
      </c>
      <c r="L19" s="106">
        <v>7</v>
      </c>
      <c r="M19" s="106">
        <v>7</v>
      </c>
      <c r="N19" s="106">
        <v>5</v>
      </c>
      <c r="O19" s="106">
        <v>5</v>
      </c>
      <c r="P19" s="106"/>
      <c r="Q19" s="106">
        <v>5</v>
      </c>
      <c r="R19" s="106">
        <v>5</v>
      </c>
      <c r="S19" s="106">
        <v>4</v>
      </c>
      <c r="T19" s="106">
        <v>3</v>
      </c>
      <c r="U19" s="106">
        <v>6</v>
      </c>
      <c r="V19" s="106">
        <f>L19*150</f>
        <v>1050</v>
      </c>
      <c r="W19" s="124"/>
    </row>
    <row r="20" spans="1:23" ht="24">
      <c r="A20" s="127">
        <v>13</v>
      </c>
      <c r="B20" s="106" t="s">
        <v>1492</v>
      </c>
      <c r="C20" s="127" t="s">
        <v>1343</v>
      </c>
      <c r="D20" s="106" t="s">
        <v>1341</v>
      </c>
      <c r="E20" s="106" t="s">
        <v>1493</v>
      </c>
      <c r="F20" s="127" t="s">
        <v>1325</v>
      </c>
      <c r="G20" s="127" t="s">
        <v>1439</v>
      </c>
      <c r="H20" s="106" t="s">
        <v>1494</v>
      </c>
      <c r="I20" s="106" t="s">
        <v>1410</v>
      </c>
      <c r="J20" s="127">
        <v>0.125</v>
      </c>
      <c r="K20" s="127">
        <v>1640</v>
      </c>
      <c r="L20" s="127">
        <v>3</v>
      </c>
      <c r="M20" s="127">
        <f>L20</f>
        <v>3</v>
      </c>
      <c r="N20" s="127">
        <f>M20</f>
        <v>3</v>
      </c>
      <c r="O20" s="127">
        <v>0.15</v>
      </c>
      <c r="P20" s="127"/>
      <c r="Q20" s="127">
        <v>5</v>
      </c>
      <c r="R20" s="127">
        <v>5</v>
      </c>
      <c r="S20" s="127">
        <v>8</v>
      </c>
      <c r="T20" s="127">
        <v>4</v>
      </c>
      <c r="U20" s="127">
        <v>4</v>
      </c>
      <c r="V20" s="127">
        <f>L20*150</f>
        <v>450</v>
      </c>
      <c r="W20" s="125"/>
    </row>
    <row r="21" spans="1:23" ht="24">
      <c r="A21" s="127">
        <v>14</v>
      </c>
      <c r="B21" s="106" t="s">
        <v>1495</v>
      </c>
      <c r="C21" s="127" t="s">
        <v>1343</v>
      </c>
      <c r="D21" s="106" t="s">
        <v>1341</v>
      </c>
      <c r="E21" s="106" t="s">
        <v>1496</v>
      </c>
      <c r="F21" s="127" t="s">
        <v>1325</v>
      </c>
      <c r="G21" s="127" t="s">
        <v>1439</v>
      </c>
      <c r="H21" s="106" t="s">
        <v>1497</v>
      </c>
      <c r="I21" s="106" t="s">
        <v>1410</v>
      </c>
      <c r="J21" s="127">
        <v>0.32</v>
      </c>
      <c r="K21" s="127">
        <v>4890</v>
      </c>
      <c r="L21" s="127">
        <v>3</v>
      </c>
      <c r="M21" s="127">
        <f aca="true" t="shared" si="1" ref="M21:N47">L21</f>
        <v>3</v>
      </c>
      <c r="N21" s="127">
        <f t="shared" si="1"/>
        <v>3</v>
      </c>
      <c r="O21" s="127">
        <v>0.12</v>
      </c>
      <c r="P21" s="127"/>
      <c r="Q21" s="127">
        <v>5</v>
      </c>
      <c r="R21" s="127">
        <v>5</v>
      </c>
      <c r="S21" s="127">
        <v>8</v>
      </c>
      <c r="T21" s="127">
        <v>4</v>
      </c>
      <c r="U21" s="127">
        <v>4</v>
      </c>
      <c r="V21" s="127">
        <f aca="true" t="shared" si="2" ref="V21:V47">L21*150</f>
        <v>450</v>
      </c>
      <c r="W21" s="125"/>
    </row>
    <row r="22" spans="1:23" ht="24">
      <c r="A22" s="127">
        <v>15</v>
      </c>
      <c r="B22" s="106" t="s">
        <v>1490</v>
      </c>
      <c r="C22" s="127" t="s">
        <v>1343</v>
      </c>
      <c r="D22" s="106" t="s">
        <v>1341</v>
      </c>
      <c r="E22" s="106" t="s">
        <v>1343</v>
      </c>
      <c r="F22" s="127" t="s">
        <v>1325</v>
      </c>
      <c r="G22" s="106" t="s">
        <v>1491</v>
      </c>
      <c r="H22" s="106" t="s">
        <v>1491</v>
      </c>
      <c r="I22" s="106" t="s">
        <v>1410</v>
      </c>
      <c r="J22" s="127">
        <v>10.2</v>
      </c>
      <c r="K22" s="127">
        <v>12000</v>
      </c>
      <c r="L22" s="127">
        <v>25</v>
      </c>
      <c r="M22" s="127">
        <v>25</v>
      </c>
      <c r="N22" s="127">
        <v>25</v>
      </c>
      <c r="O22" s="127">
        <v>12</v>
      </c>
      <c r="P22" s="127"/>
      <c r="Q22" s="127">
        <v>20</v>
      </c>
      <c r="R22" s="127">
        <v>5</v>
      </c>
      <c r="S22" s="127">
        <v>30</v>
      </c>
      <c r="T22" s="127">
        <v>10</v>
      </c>
      <c r="U22" s="127">
        <v>10</v>
      </c>
      <c r="V22" s="127">
        <f>L22*300</f>
        <v>7500</v>
      </c>
      <c r="W22" s="125"/>
    </row>
    <row r="23" spans="1:23" ht="24">
      <c r="A23" s="127">
        <v>16</v>
      </c>
      <c r="B23" s="106" t="s">
        <v>1498</v>
      </c>
      <c r="C23" s="127" t="s">
        <v>1343</v>
      </c>
      <c r="D23" s="106" t="s">
        <v>1341</v>
      </c>
      <c r="E23" s="106" t="s">
        <v>1499</v>
      </c>
      <c r="F23" s="127" t="s">
        <v>1325</v>
      </c>
      <c r="G23" s="127" t="s">
        <v>1439</v>
      </c>
      <c r="H23" s="106" t="s">
        <v>1500</v>
      </c>
      <c r="I23" s="106" t="s">
        <v>1410</v>
      </c>
      <c r="J23" s="127">
        <v>0.26</v>
      </c>
      <c r="K23" s="127">
        <v>9071</v>
      </c>
      <c r="L23" s="127">
        <v>5</v>
      </c>
      <c r="M23" s="127">
        <f t="shared" si="1"/>
        <v>5</v>
      </c>
      <c r="N23" s="127">
        <f t="shared" si="1"/>
        <v>5</v>
      </c>
      <c r="O23" s="127">
        <v>0.5</v>
      </c>
      <c r="P23" s="127"/>
      <c r="Q23" s="127">
        <v>5</v>
      </c>
      <c r="R23" s="127">
        <v>5</v>
      </c>
      <c r="S23" s="127">
        <v>8</v>
      </c>
      <c r="T23" s="127">
        <v>4</v>
      </c>
      <c r="U23" s="127">
        <v>4</v>
      </c>
      <c r="V23" s="127">
        <f t="shared" si="2"/>
        <v>750</v>
      </c>
      <c r="W23" s="125"/>
    </row>
    <row r="24" spans="1:23" ht="24">
      <c r="A24" s="127">
        <v>17</v>
      </c>
      <c r="B24" s="106" t="s">
        <v>1501</v>
      </c>
      <c r="C24" s="127" t="s">
        <v>1343</v>
      </c>
      <c r="D24" s="106" t="s">
        <v>1341</v>
      </c>
      <c r="E24" s="106" t="s">
        <v>1502</v>
      </c>
      <c r="F24" s="127" t="s">
        <v>1325</v>
      </c>
      <c r="G24" s="127" t="s">
        <v>1439</v>
      </c>
      <c r="H24" s="106" t="s">
        <v>1500</v>
      </c>
      <c r="I24" s="106" t="s">
        <v>1410</v>
      </c>
      <c r="J24" s="127">
        <v>0.13</v>
      </c>
      <c r="K24" s="127">
        <v>998</v>
      </c>
      <c r="L24" s="127">
        <v>3</v>
      </c>
      <c r="M24" s="127">
        <f t="shared" si="1"/>
        <v>3</v>
      </c>
      <c r="N24" s="127">
        <f t="shared" si="1"/>
        <v>3</v>
      </c>
      <c r="O24" s="127">
        <v>0.4</v>
      </c>
      <c r="P24" s="127"/>
      <c r="Q24" s="127">
        <v>5</v>
      </c>
      <c r="R24" s="127">
        <v>5</v>
      </c>
      <c r="S24" s="127">
        <v>8</v>
      </c>
      <c r="T24" s="127">
        <v>4</v>
      </c>
      <c r="U24" s="127">
        <v>4</v>
      </c>
      <c r="V24" s="127">
        <f t="shared" si="2"/>
        <v>450</v>
      </c>
      <c r="W24" s="125"/>
    </row>
    <row r="25" spans="1:23" ht="24">
      <c r="A25" s="127">
        <v>18</v>
      </c>
      <c r="B25" s="106" t="s">
        <v>1503</v>
      </c>
      <c r="C25" s="127" t="s">
        <v>1343</v>
      </c>
      <c r="D25" s="106" t="s">
        <v>1341</v>
      </c>
      <c r="E25" s="106" t="s">
        <v>1504</v>
      </c>
      <c r="F25" s="127" t="s">
        <v>1325</v>
      </c>
      <c r="G25" s="127" t="s">
        <v>1439</v>
      </c>
      <c r="H25" s="106" t="s">
        <v>1505</v>
      </c>
      <c r="I25" s="106" t="s">
        <v>1410</v>
      </c>
      <c r="J25" s="127">
        <v>0.25</v>
      </c>
      <c r="K25" s="127">
        <v>1400</v>
      </c>
      <c r="L25" s="127">
        <v>4</v>
      </c>
      <c r="M25" s="127">
        <f t="shared" si="1"/>
        <v>4</v>
      </c>
      <c r="N25" s="127">
        <f t="shared" si="1"/>
        <v>4</v>
      </c>
      <c r="O25" s="127">
        <v>0.2</v>
      </c>
      <c r="P25" s="127"/>
      <c r="Q25" s="127">
        <v>5</v>
      </c>
      <c r="R25" s="127">
        <v>5</v>
      </c>
      <c r="S25" s="127">
        <v>8</v>
      </c>
      <c r="T25" s="127">
        <v>4</v>
      </c>
      <c r="U25" s="127">
        <v>4</v>
      </c>
      <c r="V25" s="127">
        <f t="shared" si="2"/>
        <v>600</v>
      </c>
      <c r="W25" s="125"/>
    </row>
    <row r="26" spans="1:23" ht="24">
      <c r="A26" s="127">
        <v>19</v>
      </c>
      <c r="B26" s="106" t="s">
        <v>1506</v>
      </c>
      <c r="C26" s="127" t="s">
        <v>1343</v>
      </c>
      <c r="D26" s="106" t="s">
        <v>1341</v>
      </c>
      <c r="E26" s="106" t="s">
        <v>1507</v>
      </c>
      <c r="F26" s="127" t="s">
        <v>1325</v>
      </c>
      <c r="G26" s="127" t="s">
        <v>1439</v>
      </c>
      <c r="H26" s="106" t="s">
        <v>1508</v>
      </c>
      <c r="I26" s="106" t="s">
        <v>1410</v>
      </c>
      <c r="J26" s="127">
        <v>0.3</v>
      </c>
      <c r="K26" s="127">
        <v>1090</v>
      </c>
      <c r="L26" s="127">
        <v>6</v>
      </c>
      <c r="M26" s="127">
        <f t="shared" si="1"/>
        <v>6</v>
      </c>
      <c r="N26" s="127">
        <f t="shared" si="1"/>
        <v>6</v>
      </c>
      <c r="O26" s="127">
        <v>0.3</v>
      </c>
      <c r="P26" s="127"/>
      <c r="Q26" s="127">
        <v>5</v>
      </c>
      <c r="R26" s="127">
        <v>5</v>
      </c>
      <c r="S26" s="127">
        <v>8</v>
      </c>
      <c r="T26" s="127">
        <v>4</v>
      </c>
      <c r="U26" s="127">
        <v>4</v>
      </c>
      <c r="V26" s="127">
        <f t="shared" si="2"/>
        <v>900</v>
      </c>
      <c r="W26" s="125"/>
    </row>
    <row r="27" spans="1:23" ht="24">
      <c r="A27" s="127">
        <v>20</v>
      </c>
      <c r="B27" s="106" t="s">
        <v>1509</v>
      </c>
      <c r="C27" s="127" t="s">
        <v>1343</v>
      </c>
      <c r="D27" s="106" t="s">
        <v>1341</v>
      </c>
      <c r="E27" s="106" t="s">
        <v>1510</v>
      </c>
      <c r="F27" s="127" t="s">
        <v>1325</v>
      </c>
      <c r="G27" s="127" t="s">
        <v>1439</v>
      </c>
      <c r="H27" s="106" t="s">
        <v>1511</v>
      </c>
      <c r="I27" s="106" t="s">
        <v>1410</v>
      </c>
      <c r="J27" s="127">
        <v>0.15</v>
      </c>
      <c r="K27" s="127">
        <v>3421</v>
      </c>
      <c r="L27" s="127">
        <v>2</v>
      </c>
      <c r="M27" s="127">
        <f t="shared" si="1"/>
        <v>2</v>
      </c>
      <c r="N27" s="127">
        <f t="shared" si="1"/>
        <v>2</v>
      </c>
      <c r="O27" s="127">
        <v>0.21</v>
      </c>
      <c r="P27" s="127"/>
      <c r="Q27" s="127">
        <v>5</v>
      </c>
      <c r="R27" s="127">
        <v>5</v>
      </c>
      <c r="S27" s="127">
        <v>8</v>
      </c>
      <c r="T27" s="127">
        <v>4</v>
      </c>
      <c r="U27" s="127">
        <v>4</v>
      </c>
      <c r="V27" s="127">
        <f t="shared" si="2"/>
        <v>300</v>
      </c>
      <c r="W27" s="125"/>
    </row>
    <row r="28" spans="1:23" ht="24">
      <c r="A28" s="127">
        <v>21</v>
      </c>
      <c r="B28" s="106" t="s">
        <v>1512</v>
      </c>
      <c r="C28" s="127" t="s">
        <v>1343</v>
      </c>
      <c r="D28" s="106" t="s">
        <v>1341</v>
      </c>
      <c r="E28" s="106" t="s">
        <v>1513</v>
      </c>
      <c r="F28" s="127" t="s">
        <v>1325</v>
      </c>
      <c r="G28" s="127" t="s">
        <v>1439</v>
      </c>
      <c r="H28" s="106" t="s">
        <v>1514</v>
      </c>
      <c r="I28" s="106" t="s">
        <v>1410</v>
      </c>
      <c r="J28" s="127">
        <v>0.5</v>
      </c>
      <c r="K28" s="127">
        <v>1321</v>
      </c>
      <c r="L28" s="127">
        <v>4</v>
      </c>
      <c r="M28" s="127">
        <f t="shared" si="1"/>
        <v>4</v>
      </c>
      <c r="N28" s="127">
        <f t="shared" si="1"/>
        <v>4</v>
      </c>
      <c r="O28" s="127">
        <v>0.5</v>
      </c>
      <c r="P28" s="127"/>
      <c r="Q28" s="127">
        <v>5</v>
      </c>
      <c r="R28" s="127">
        <v>5</v>
      </c>
      <c r="S28" s="127">
        <v>8</v>
      </c>
      <c r="T28" s="127">
        <v>4</v>
      </c>
      <c r="U28" s="127">
        <v>4</v>
      </c>
      <c r="V28" s="127">
        <f t="shared" si="2"/>
        <v>600</v>
      </c>
      <c r="W28" s="125"/>
    </row>
    <row r="29" spans="1:23" ht="24">
      <c r="A29" s="127">
        <v>22</v>
      </c>
      <c r="B29" s="106" t="s">
        <v>1515</v>
      </c>
      <c r="C29" s="127" t="s">
        <v>1343</v>
      </c>
      <c r="D29" s="106" t="s">
        <v>1341</v>
      </c>
      <c r="E29" s="106" t="s">
        <v>1516</v>
      </c>
      <c r="F29" s="127" t="s">
        <v>1325</v>
      </c>
      <c r="G29" s="127" t="s">
        <v>1439</v>
      </c>
      <c r="H29" s="106" t="s">
        <v>1517</v>
      </c>
      <c r="I29" s="106" t="s">
        <v>1410</v>
      </c>
      <c r="J29" s="127">
        <v>0.54</v>
      </c>
      <c r="K29" s="127">
        <v>1500</v>
      </c>
      <c r="L29" s="127">
        <v>5</v>
      </c>
      <c r="M29" s="127">
        <f t="shared" si="1"/>
        <v>5</v>
      </c>
      <c r="N29" s="127">
        <f t="shared" si="1"/>
        <v>5</v>
      </c>
      <c r="O29" s="127">
        <v>1.5</v>
      </c>
      <c r="P29" s="127"/>
      <c r="Q29" s="127">
        <v>5</v>
      </c>
      <c r="R29" s="127">
        <v>5</v>
      </c>
      <c r="S29" s="127">
        <v>8</v>
      </c>
      <c r="T29" s="127">
        <v>4</v>
      </c>
      <c r="U29" s="127">
        <v>4</v>
      </c>
      <c r="V29" s="127">
        <f t="shared" si="2"/>
        <v>750</v>
      </c>
      <c r="W29" s="125"/>
    </row>
    <row r="30" spans="1:23" ht="24">
      <c r="A30" s="127">
        <v>23</v>
      </c>
      <c r="B30" s="106" t="s">
        <v>1518</v>
      </c>
      <c r="C30" s="127" t="s">
        <v>1343</v>
      </c>
      <c r="D30" s="106" t="s">
        <v>1341</v>
      </c>
      <c r="E30" s="106" t="s">
        <v>1519</v>
      </c>
      <c r="F30" s="127" t="s">
        <v>1325</v>
      </c>
      <c r="G30" s="127" t="s">
        <v>1439</v>
      </c>
      <c r="H30" s="106" t="s">
        <v>1520</v>
      </c>
      <c r="I30" s="106" t="s">
        <v>1410</v>
      </c>
      <c r="J30" s="127">
        <v>0.24</v>
      </c>
      <c r="K30" s="127">
        <v>2500</v>
      </c>
      <c r="L30" s="127">
        <v>4</v>
      </c>
      <c r="M30" s="127">
        <f t="shared" si="1"/>
        <v>4</v>
      </c>
      <c r="N30" s="127">
        <f t="shared" si="1"/>
        <v>4</v>
      </c>
      <c r="O30" s="127">
        <v>1</v>
      </c>
      <c r="P30" s="127"/>
      <c r="Q30" s="127">
        <v>5</v>
      </c>
      <c r="R30" s="127">
        <v>5</v>
      </c>
      <c r="S30" s="127">
        <v>8</v>
      </c>
      <c r="T30" s="127">
        <v>4</v>
      </c>
      <c r="U30" s="127">
        <v>4</v>
      </c>
      <c r="V30" s="127">
        <f t="shared" si="2"/>
        <v>600</v>
      </c>
      <c r="W30" s="125"/>
    </row>
    <row r="31" spans="1:23" ht="24">
      <c r="A31" s="127">
        <v>24</v>
      </c>
      <c r="B31" s="106" t="s">
        <v>1521</v>
      </c>
      <c r="C31" s="127" t="s">
        <v>1343</v>
      </c>
      <c r="D31" s="106" t="s">
        <v>1341</v>
      </c>
      <c r="E31" s="106" t="s">
        <v>1522</v>
      </c>
      <c r="F31" s="127" t="s">
        <v>1325</v>
      </c>
      <c r="G31" s="127" t="s">
        <v>1439</v>
      </c>
      <c r="H31" s="106" t="s">
        <v>1523</v>
      </c>
      <c r="I31" s="106" t="s">
        <v>1410</v>
      </c>
      <c r="J31" s="127">
        <v>0.26</v>
      </c>
      <c r="K31" s="127">
        <v>2000</v>
      </c>
      <c r="L31" s="127">
        <v>3</v>
      </c>
      <c r="M31" s="127">
        <f t="shared" si="1"/>
        <v>3</v>
      </c>
      <c r="N31" s="127">
        <f t="shared" si="1"/>
        <v>3</v>
      </c>
      <c r="O31" s="127">
        <v>0.8</v>
      </c>
      <c r="P31" s="127"/>
      <c r="Q31" s="127">
        <v>5</v>
      </c>
      <c r="R31" s="127">
        <v>5</v>
      </c>
      <c r="S31" s="127">
        <v>8</v>
      </c>
      <c r="T31" s="127">
        <v>4</v>
      </c>
      <c r="U31" s="127">
        <v>4</v>
      </c>
      <c r="V31" s="127">
        <f t="shared" si="2"/>
        <v>450</v>
      </c>
      <c r="W31" s="125"/>
    </row>
    <row r="32" spans="1:23" ht="24">
      <c r="A32" s="127">
        <v>25</v>
      </c>
      <c r="B32" s="106" t="s">
        <v>1524</v>
      </c>
      <c r="C32" s="127" t="s">
        <v>1343</v>
      </c>
      <c r="D32" s="106" t="s">
        <v>1341</v>
      </c>
      <c r="E32" s="106" t="s">
        <v>1525</v>
      </c>
      <c r="F32" s="127" t="s">
        <v>1325</v>
      </c>
      <c r="G32" s="127" t="s">
        <v>1439</v>
      </c>
      <c r="H32" s="106" t="s">
        <v>1526</v>
      </c>
      <c r="I32" s="106" t="s">
        <v>1410</v>
      </c>
      <c r="J32" s="127">
        <v>0.21</v>
      </c>
      <c r="K32" s="127">
        <v>500</v>
      </c>
      <c r="L32" s="127">
        <v>5</v>
      </c>
      <c r="M32" s="127">
        <f t="shared" si="1"/>
        <v>5</v>
      </c>
      <c r="N32" s="127">
        <f t="shared" si="1"/>
        <v>5</v>
      </c>
      <c r="O32" s="127">
        <v>0.4</v>
      </c>
      <c r="P32" s="127"/>
      <c r="Q32" s="127">
        <v>5</v>
      </c>
      <c r="R32" s="127">
        <v>5</v>
      </c>
      <c r="S32" s="127">
        <v>8</v>
      </c>
      <c r="T32" s="127">
        <v>4</v>
      </c>
      <c r="U32" s="127">
        <v>4</v>
      </c>
      <c r="V32" s="127">
        <f t="shared" si="2"/>
        <v>750</v>
      </c>
      <c r="W32" s="125"/>
    </row>
    <row r="33" spans="1:23" ht="24">
      <c r="A33" s="127">
        <v>26</v>
      </c>
      <c r="B33" s="106" t="s">
        <v>1527</v>
      </c>
      <c r="C33" s="127" t="s">
        <v>1343</v>
      </c>
      <c r="D33" s="106" t="s">
        <v>1341</v>
      </c>
      <c r="E33" s="106" t="s">
        <v>1528</v>
      </c>
      <c r="F33" s="127" t="s">
        <v>1325</v>
      </c>
      <c r="G33" s="127" t="s">
        <v>1439</v>
      </c>
      <c r="H33" s="106" t="s">
        <v>1529</v>
      </c>
      <c r="I33" s="106" t="s">
        <v>1410</v>
      </c>
      <c r="J33" s="127">
        <v>0.27</v>
      </c>
      <c r="K33" s="127">
        <v>1800</v>
      </c>
      <c r="L33" s="127">
        <v>3</v>
      </c>
      <c r="M33" s="127">
        <f t="shared" si="1"/>
        <v>3</v>
      </c>
      <c r="N33" s="127">
        <f t="shared" si="1"/>
        <v>3</v>
      </c>
      <c r="O33" s="127">
        <v>2.5</v>
      </c>
      <c r="P33" s="127"/>
      <c r="Q33" s="127">
        <v>5</v>
      </c>
      <c r="R33" s="127">
        <v>5</v>
      </c>
      <c r="S33" s="127">
        <v>8</v>
      </c>
      <c r="T33" s="127">
        <v>4</v>
      </c>
      <c r="U33" s="127">
        <v>4</v>
      </c>
      <c r="V33" s="127">
        <f t="shared" si="2"/>
        <v>450</v>
      </c>
      <c r="W33" s="125"/>
    </row>
    <row r="34" spans="1:23" ht="24">
      <c r="A34" s="127">
        <v>27</v>
      </c>
      <c r="B34" s="106" t="s">
        <v>1530</v>
      </c>
      <c r="C34" s="127" t="s">
        <v>1343</v>
      </c>
      <c r="D34" s="106" t="s">
        <v>1341</v>
      </c>
      <c r="E34" s="106" t="s">
        <v>1531</v>
      </c>
      <c r="F34" s="127" t="s">
        <v>1325</v>
      </c>
      <c r="G34" s="127" t="s">
        <v>1439</v>
      </c>
      <c r="H34" s="106" t="s">
        <v>1532</v>
      </c>
      <c r="I34" s="106" t="s">
        <v>1410</v>
      </c>
      <c r="J34" s="127">
        <v>0.22</v>
      </c>
      <c r="K34" s="127">
        <v>1000</v>
      </c>
      <c r="L34" s="127">
        <v>4</v>
      </c>
      <c r="M34" s="127">
        <f t="shared" si="1"/>
        <v>4</v>
      </c>
      <c r="N34" s="127">
        <f t="shared" si="1"/>
        <v>4</v>
      </c>
      <c r="O34" s="127">
        <v>1</v>
      </c>
      <c r="P34" s="127"/>
      <c r="Q34" s="127">
        <v>5</v>
      </c>
      <c r="R34" s="127">
        <v>5</v>
      </c>
      <c r="S34" s="127">
        <v>8</v>
      </c>
      <c r="T34" s="127">
        <v>4</v>
      </c>
      <c r="U34" s="127">
        <v>4</v>
      </c>
      <c r="V34" s="127">
        <f t="shared" si="2"/>
        <v>600</v>
      </c>
      <c r="W34" s="125"/>
    </row>
    <row r="35" spans="1:23" ht="24">
      <c r="A35" s="127">
        <v>28</v>
      </c>
      <c r="B35" s="106" t="s">
        <v>1533</v>
      </c>
      <c r="C35" s="127" t="s">
        <v>1343</v>
      </c>
      <c r="D35" s="106" t="s">
        <v>1341</v>
      </c>
      <c r="E35" s="106" t="s">
        <v>1534</v>
      </c>
      <c r="F35" s="127" t="s">
        <v>1325</v>
      </c>
      <c r="G35" s="127" t="s">
        <v>1439</v>
      </c>
      <c r="H35" s="106" t="s">
        <v>1535</v>
      </c>
      <c r="I35" s="106" t="s">
        <v>1410</v>
      </c>
      <c r="J35" s="127">
        <v>0.21</v>
      </c>
      <c r="K35" s="127">
        <v>1300</v>
      </c>
      <c r="L35" s="127">
        <v>5</v>
      </c>
      <c r="M35" s="127">
        <f t="shared" si="1"/>
        <v>5</v>
      </c>
      <c r="N35" s="127">
        <f t="shared" si="1"/>
        <v>5</v>
      </c>
      <c r="O35" s="127">
        <v>0.35</v>
      </c>
      <c r="P35" s="127"/>
      <c r="Q35" s="127">
        <v>5</v>
      </c>
      <c r="R35" s="127">
        <v>5</v>
      </c>
      <c r="S35" s="127">
        <v>8</v>
      </c>
      <c r="T35" s="127">
        <v>4</v>
      </c>
      <c r="U35" s="127">
        <v>4</v>
      </c>
      <c r="V35" s="127">
        <f t="shared" si="2"/>
        <v>750</v>
      </c>
      <c r="W35" s="125"/>
    </row>
    <row r="36" spans="1:23" ht="24">
      <c r="A36" s="127">
        <v>29</v>
      </c>
      <c r="B36" s="106" t="s">
        <v>1509</v>
      </c>
      <c r="C36" s="127" t="s">
        <v>1343</v>
      </c>
      <c r="D36" s="106" t="s">
        <v>1341</v>
      </c>
      <c r="E36" s="106" t="s">
        <v>1536</v>
      </c>
      <c r="F36" s="127" t="s">
        <v>1325</v>
      </c>
      <c r="G36" s="127" t="s">
        <v>1439</v>
      </c>
      <c r="H36" s="106" t="s">
        <v>1537</v>
      </c>
      <c r="I36" s="106" t="s">
        <v>1410</v>
      </c>
      <c r="J36" s="127">
        <v>0.23</v>
      </c>
      <c r="K36" s="127">
        <v>3325</v>
      </c>
      <c r="L36" s="127">
        <v>3</v>
      </c>
      <c r="M36" s="127">
        <f t="shared" si="1"/>
        <v>3</v>
      </c>
      <c r="N36" s="127">
        <f t="shared" si="1"/>
        <v>3</v>
      </c>
      <c r="O36" s="127">
        <v>0.5</v>
      </c>
      <c r="P36" s="127"/>
      <c r="Q36" s="127">
        <v>5</v>
      </c>
      <c r="R36" s="127">
        <v>5</v>
      </c>
      <c r="S36" s="127">
        <v>8</v>
      </c>
      <c r="T36" s="127">
        <v>4</v>
      </c>
      <c r="U36" s="127">
        <v>4</v>
      </c>
      <c r="V36" s="127">
        <f t="shared" si="2"/>
        <v>450</v>
      </c>
      <c r="W36" s="125"/>
    </row>
    <row r="37" spans="1:23" ht="24">
      <c r="A37" s="127">
        <v>30</v>
      </c>
      <c r="B37" s="106" t="s">
        <v>1509</v>
      </c>
      <c r="C37" s="127" t="s">
        <v>1343</v>
      </c>
      <c r="D37" s="106" t="s">
        <v>1341</v>
      </c>
      <c r="E37" s="106" t="s">
        <v>1536</v>
      </c>
      <c r="F37" s="127" t="s">
        <v>1325</v>
      </c>
      <c r="G37" s="127" t="s">
        <v>1439</v>
      </c>
      <c r="H37" s="106" t="s">
        <v>1538</v>
      </c>
      <c r="I37" s="106" t="s">
        <v>1410</v>
      </c>
      <c r="J37" s="127">
        <v>0.28</v>
      </c>
      <c r="K37" s="127">
        <v>4906</v>
      </c>
      <c r="L37" s="127">
        <v>3</v>
      </c>
      <c r="M37" s="127">
        <f t="shared" si="1"/>
        <v>3</v>
      </c>
      <c r="N37" s="127">
        <f t="shared" si="1"/>
        <v>3</v>
      </c>
      <c r="O37" s="127">
        <v>0.1</v>
      </c>
      <c r="P37" s="127"/>
      <c r="Q37" s="127">
        <v>5</v>
      </c>
      <c r="R37" s="127">
        <v>5</v>
      </c>
      <c r="S37" s="127">
        <v>8</v>
      </c>
      <c r="T37" s="127">
        <v>4</v>
      </c>
      <c r="U37" s="127">
        <v>4</v>
      </c>
      <c r="V37" s="127">
        <f t="shared" si="2"/>
        <v>450</v>
      </c>
      <c r="W37" s="125"/>
    </row>
    <row r="38" spans="1:23" ht="24">
      <c r="A38" s="127">
        <v>31</v>
      </c>
      <c r="B38" s="106" t="s">
        <v>1490</v>
      </c>
      <c r="C38" s="127" t="s">
        <v>1343</v>
      </c>
      <c r="D38" s="106" t="s">
        <v>1341</v>
      </c>
      <c r="E38" s="106" t="s">
        <v>1343</v>
      </c>
      <c r="F38" s="127" t="s">
        <v>1325</v>
      </c>
      <c r="G38" s="127" t="s">
        <v>1439</v>
      </c>
      <c r="H38" s="106" t="s">
        <v>1539</v>
      </c>
      <c r="I38" s="106" t="s">
        <v>1410</v>
      </c>
      <c r="J38" s="127">
        <v>0.29</v>
      </c>
      <c r="K38" s="127">
        <v>2850</v>
      </c>
      <c r="L38" s="127">
        <v>5</v>
      </c>
      <c r="M38" s="127">
        <f t="shared" si="1"/>
        <v>5</v>
      </c>
      <c r="N38" s="127">
        <f t="shared" si="1"/>
        <v>5</v>
      </c>
      <c r="O38" s="127">
        <v>0.1</v>
      </c>
      <c r="P38" s="127"/>
      <c r="Q38" s="127">
        <v>5</v>
      </c>
      <c r="R38" s="127">
        <v>5</v>
      </c>
      <c r="S38" s="127">
        <v>8</v>
      </c>
      <c r="T38" s="127">
        <v>4</v>
      </c>
      <c r="U38" s="127">
        <v>4</v>
      </c>
      <c r="V38" s="127">
        <f t="shared" si="2"/>
        <v>750</v>
      </c>
      <c r="W38" s="125"/>
    </row>
    <row r="39" spans="1:23" ht="24">
      <c r="A39" s="127">
        <v>32</v>
      </c>
      <c r="B39" s="106" t="s">
        <v>1540</v>
      </c>
      <c r="C39" s="127" t="s">
        <v>1343</v>
      </c>
      <c r="D39" s="106" t="s">
        <v>1341</v>
      </c>
      <c r="E39" s="106" t="s">
        <v>1541</v>
      </c>
      <c r="F39" s="127" t="s">
        <v>1325</v>
      </c>
      <c r="G39" s="127" t="s">
        <v>1439</v>
      </c>
      <c r="H39" s="106" t="s">
        <v>1539</v>
      </c>
      <c r="I39" s="106" t="s">
        <v>1410</v>
      </c>
      <c r="J39" s="127">
        <v>0.2</v>
      </c>
      <c r="K39" s="127">
        <v>3000</v>
      </c>
      <c r="L39" s="127">
        <v>6</v>
      </c>
      <c r="M39" s="127">
        <f t="shared" si="1"/>
        <v>6</v>
      </c>
      <c r="N39" s="127">
        <f t="shared" si="1"/>
        <v>6</v>
      </c>
      <c r="O39" s="127">
        <v>0.12</v>
      </c>
      <c r="P39" s="127"/>
      <c r="Q39" s="127">
        <v>5</v>
      </c>
      <c r="R39" s="127">
        <v>5</v>
      </c>
      <c r="S39" s="127">
        <v>8</v>
      </c>
      <c r="T39" s="127">
        <v>4</v>
      </c>
      <c r="U39" s="127">
        <v>4</v>
      </c>
      <c r="V39" s="127">
        <f t="shared" si="2"/>
        <v>900</v>
      </c>
      <c r="W39" s="125"/>
    </row>
    <row r="40" spans="1:23" ht="24">
      <c r="A40" s="127">
        <v>33</v>
      </c>
      <c r="B40" s="106" t="s">
        <v>1542</v>
      </c>
      <c r="C40" s="127" t="s">
        <v>1343</v>
      </c>
      <c r="D40" s="106" t="s">
        <v>1341</v>
      </c>
      <c r="E40" s="106" t="s">
        <v>1543</v>
      </c>
      <c r="F40" s="127" t="s">
        <v>1325</v>
      </c>
      <c r="G40" s="127" t="s">
        <v>1439</v>
      </c>
      <c r="H40" s="106" t="s">
        <v>1544</v>
      </c>
      <c r="I40" s="106" t="s">
        <v>1410</v>
      </c>
      <c r="J40" s="127">
        <v>0.23</v>
      </c>
      <c r="K40" s="127">
        <v>2300</v>
      </c>
      <c r="L40" s="127">
        <v>3</v>
      </c>
      <c r="M40" s="127">
        <f t="shared" si="1"/>
        <v>3</v>
      </c>
      <c r="N40" s="127">
        <f t="shared" si="1"/>
        <v>3</v>
      </c>
      <c r="O40" s="127">
        <v>2.5</v>
      </c>
      <c r="P40" s="127"/>
      <c r="Q40" s="127">
        <v>5</v>
      </c>
      <c r="R40" s="127">
        <v>5</v>
      </c>
      <c r="S40" s="127">
        <v>8</v>
      </c>
      <c r="T40" s="127">
        <v>4</v>
      </c>
      <c r="U40" s="127">
        <v>4</v>
      </c>
      <c r="V40" s="127">
        <f t="shared" si="2"/>
        <v>450</v>
      </c>
      <c r="W40" s="125"/>
    </row>
    <row r="41" spans="1:23" ht="24">
      <c r="A41" s="127">
        <v>34</v>
      </c>
      <c r="B41" s="106" t="s">
        <v>1545</v>
      </c>
      <c r="C41" s="127" t="s">
        <v>1343</v>
      </c>
      <c r="D41" s="106" t="s">
        <v>1341</v>
      </c>
      <c r="E41" s="106" t="s">
        <v>1546</v>
      </c>
      <c r="F41" s="127" t="s">
        <v>1325</v>
      </c>
      <c r="G41" s="127" t="s">
        <v>1439</v>
      </c>
      <c r="H41" s="106" t="s">
        <v>1547</v>
      </c>
      <c r="I41" s="106" t="s">
        <v>1410</v>
      </c>
      <c r="J41" s="127">
        <v>0.5</v>
      </c>
      <c r="K41" s="127">
        <v>2500</v>
      </c>
      <c r="L41" s="127">
        <v>5</v>
      </c>
      <c r="M41" s="127">
        <f t="shared" si="1"/>
        <v>5</v>
      </c>
      <c r="N41" s="127">
        <f t="shared" si="1"/>
        <v>5</v>
      </c>
      <c r="O41" s="127">
        <v>2.1</v>
      </c>
      <c r="P41" s="127"/>
      <c r="Q41" s="127">
        <v>5</v>
      </c>
      <c r="R41" s="127">
        <v>5</v>
      </c>
      <c r="S41" s="127">
        <v>8</v>
      </c>
      <c r="T41" s="127">
        <v>4</v>
      </c>
      <c r="U41" s="127">
        <v>4</v>
      </c>
      <c r="V41" s="127">
        <f t="shared" si="2"/>
        <v>750</v>
      </c>
      <c r="W41" s="125"/>
    </row>
    <row r="42" spans="1:23" ht="24">
      <c r="A42" s="127">
        <v>35</v>
      </c>
      <c r="B42" s="106" t="s">
        <v>1548</v>
      </c>
      <c r="C42" s="127" t="s">
        <v>1343</v>
      </c>
      <c r="D42" s="106" t="s">
        <v>1341</v>
      </c>
      <c r="E42" s="106" t="s">
        <v>1549</v>
      </c>
      <c r="F42" s="127" t="s">
        <v>1325</v>
      </c>
      <c r="G42" s="127" t="s">
        <v>1439</v>
      </c>
      <c r="H42" s="106" t="s">
        <v>1550</v>
      </c>
      <c r="I42" s="106" t="s">
        <v>1410</v>
      </c>
      <c r="J42" s="127">
        <v>0.24</v>
      </c>
      <c r="K42" s="127">
        <v>2800</v>
      </c>
      <c r="L42" s="127">
        <v>4</v>
      </c>
      <c r="M42" s="127">
        <f t="shared" si="1"/>
        <v>4</v>
      </c>
      <c r="N42" s="127">
        <f t="shared" si="1"/>
        <v>4</v>
      </c>
      <c r="O42" s="127">
        <v>0.8</v>
      </c>
      <c r="P42" s="127"/>
      <c r="Q42" s="127">
        <v>5</v>
      </c>
      <c r="R42" s="127">
        <v>5</v>
      </c>
      <c r="S42" s="127">
        <v>8</v>
      </c>
      <c r="T42" s="127">
        <v>4</v>
      </c>
      <c r="U42" s="127">
        <v>4</v>
      </c>
      <c r="V42" s="127">
        <f t="shared" si="2"/>
        <v>600</v>
      </c>
      <c r="W42" s="125"/>
    </row>
    <row r="43" spans="1:23" ht="24">
      <c r="A43" s="127">
        <v>36</v>
      </c>
      <c r="B43" s="106" t="s">
        <v>1551</v>
      </c>
      <c r="C43" s="127" t="s">
        <v>1343</v>
      </c>
      <c r="D43" s="106" t="s">
        <v>1341</v>
      </c>
      <c r="E43" s="106" t="s">
        <v>1552</v>
      </c>
      <c r="F43" s="127" t="s">
        <v>1325</v>
      </c>
      <c r="G43" s="127" t="s">
        <v>1439</v>
      </c>
      <c r="H43" s="106" t="s">
        <v>1553</v>
      </c>
      <c r="I43" s="106" t="s">
        <v>1410</v>
      </c>
      <c r="J43" s="127">
        <v>0.26</v>
      </c>
      <c r="K43" s="127">
        <v>2100</v>
      </c>
      <c r="L43" s="127">
        <v>5</v>
      </c>
      <c r="M43" s="127">
        <f t="shared" si="1"/>
        <v>5</v>
      </c>
      <c r="N43" s="127">
        <f t="shared" si="1"/>
        <v>5</v>
      </c>
      <c r="O43" s="127">
        <v>0.8</v>
      </c>
      <c r="P43" s="127"/>
      <c r="Q43" s="127">
        <v>5</v>
      </c>
      <c r="R43" s="127">
        <v>5</v>
      </c>
      <c r="S43" s="127">
        <v>8</v>
      </c>
      <c r="T43" s="127">
        <v>4</v>
      </c>
      <c r="U43" s="127">
        <v>4</v>
      </c>
      <c r="V43" s="127">
        <f t="shared" si="2"/>
        <v>750</v>
      </c>
      <c r="W43" s="125"/>
    </row>
    <row r="44" spans="1:23" ht="24">
      <c r="A44" s="127">
        <v>37</v>
      </c>
      <c r="B44" s="106" t="s">
        <v>1554</v>
      </c>
      <c r="C44" s="127" t="s">
        <v>1343</v>
      </c>
      <c r="D44" s="106" t="s">
        <v>1341</v>
      </c>
      <c r="E44" s="106" t="s">
        <v>1555</v>
      </c>
      <c r="F44" s="127" t="s">
        <v>1325</v>
      </c>
      <c r="G44" s="127" t="s">
        <v>1439</v>
      </c>
      <c r="H44" s="106" t="s">
        <v>1556</v>
      </c>
      <c r="I44" s="106" t="s">
        <v>1410</v>
      </c>
      <c r="J44" s="127">
        <v>0.23</v>
      </c>
      <c r="K44" s="127">
        <v>2300</v>
      </c>
      <c r="L44" s="127">
        <v>3</v>
      </c>
      <c r="M44" s="127">
        <f t="shared" si="1"/>
        <v>3</v>
      </c>
      <c r="N44" s="127">
        <f t="shared" si="1"/>
        <v>3</v>
      </c>
      <c r="O44" s="127">
        <v>0.1</v>
      </c>
      <c r="P44" s="127"/>
      <c r="Q44" s="127">
        <v>5</v>
      </c>
      <c r="R44" s="127">
        <v>5</v>
      </c>
      <c r="S44" s="127">
        <v>8</v>
      </c>
      <c r="T44" s="127">
        <v>4</v>
      </c>
      <c r="U44" s="127">
        <v>4</v>
      </c>
      <c r="V44" s="127">
        <f t="shared" si="2"/>
        <v>450</v>
      </c>
      <c r="W44" s="125"/>
    </row>
    <row r="45" spans="1:23" ht="24">
      <c r="A45" s="127">
        <v>38</v>
      </c>
      <c r="B45" s="106" t="s">
        <v>1557</v>
      </c>
      <c r="C45" s="127" t="s">
        <v>1343</v>
      </c>
      <c r="D45" s="106" t="s">
        <v>1341</v>
      </c>
      <c r="E45" s="106" t="s">
        <v>1558</v>
      </c>
      <c r="F45" s="127" t="s">
        <v>1325</v>
      </c>
      <c r="G45" s="127" t="s">
        <v>1439</v>
      </c>
      <c r="H45" s="106" t="s">
        <v>1559</v>
      </c>
      <c r="I45" s="106" t="s">
        <v>1410</v>
      </c>
      <c r="J45" s="127">
        <v>0.22</v>
      </c>
      <c r="K45" s="127">
        <v>2900</v>
      </c>
      <c r="L45" s="127">
        <v>6</v>
      </c>
      <c r="M45" s="127">
        <f t="shared" si="1"/>
        <v>6</v>
      </c>
      <c r="N45" s="127">
        <f t="shared" si="1"/>
        <v>6</v>
      </c>
      <c r="O45" s="127">
        <v>0.5</v>
      </c>
      <c r="P45" s="127"/>
      <c r="Q45" s="127">
        <v>5</v>
      </c>
      <c r="R45" s="127">
        <v>5</v>
      </c>
      <c r="S45" s="127">
        <v>8</v>
      </c>
      <c r="T45" s="127">
        <v>4</v>
      </c>
      <c r="U45" s="127">
        <v>4</v>
      </c>
      <c r="V45" s="127">
        <f t="shared" si="2"/>
        <v>900</v>
      </c>
      <c r="W45" s="125"/>
    </row>
    <row r="46" spans="1:23" ht="24">
      <c r="A46" s="127">
        <v>39</v>
      </c>
      <c r="B46" s="106" t="s">
        <v>1560</v>
      </c>
      <c r="C46" s="127" t="s">
        <v>1343</v>
      </c>
      <c r="D46" s="106" t="s">
        <v>1341</v>
      </c>
      <c r="E46" s="106" t="s">
        <v>1561</v>
      </c>
      <c r="F46" s="127" t="s">
        <v>1325</v>
      </c>
      <c r="G46" s="127" t="s">
        <v>1439</v>
      </c>
      <c r="H46" s="106" t="s">
        <v>1562</v>
      </c>
      <c r="I46" s="106" t="s">
        <v>1410</v>
      </c>
      <c r="J46" s="127">
        <v>0.28</v>
      </c>
      <c r="K46" s="127">
        <v>2200</v>
      </c>
      <c r="L46" s="127">
        <v>4</v>
      </c>
      <c r="M46" s="127">
        <f t="shared" si="1"/>
        <v>4</v>
      </c>
      <c r="N46" s="127">
        <f t="shared" si="1"/>
        <v>4</v>
      </c>
      <c r="O46" s="127">
        <v>0.168</v>
      </c>
      <c r="P46" s="127"/>
      <c r="Q46" s="127">
        <v>5</v>
      </c>
      <c r="R46" s="127">
        <v>5</v>
      </c>
      <c r="S46" s="127">
        <v>8</v>
      </c>
      <c r="T46" s="127">
        <v>4</v>
      </c>
      <c r="U46" s="127">
        <v>4</v>
      </c>
      <c r="V46" s="127">
        <f t="shared" si="2"/>
        <v>600</v>
      </c>
      <c r="W46" s="125"/>
    </row>
    <row r="47" spans="1:23" ht="24">
      <c r="A47" s="127">
        <v>40</v>
      </c>
      <c r="B47" s="106" t="s">
        <v>1563</v>
      </c>
      <c r="C47" s="127" t="s">
        <v>1343</v>
      </c>
      <c r="D47" s="106" t="s">
        <v>1341</v>
      </c>
      <c r="E47" s="106" t="s">
        <v>1564</v>
      </c>
      <c r="F47" s="127" t="s">
        <v>1325</v>
      </c>
      <c r="G47" s="127" t="s">
        <v>1439</v>
      </c>
      <c r="H47" s="106" t="s">
        <v>1565</v>
      </c>
      <c r="I47" s="106" t="s">
        <v>1410</v>
      </c>
      <c r="J47" s="127">
        <v>0.27</v>
      </c>
      <c r="K47" s="127">
        <v>2700</v>
      </c>
      <c r="L47" s="127">
        <v>5</v>
      </c>
      <c r="M47" s="127">
        <f t="shared" si="1"/>
        <v>5</v>
      </c>
      <c r="N47" s="127">
        <f t="shared" si="1"/>
        <v>5</v>
      </c>
      <c r="O47" s="127">
        <v>0.16</v>
      </c>
      <c r="P47" s="127"/>
      <c r="Q47" s="127">
        <v>5</v>
      </c>
      <c r="R47" s="127">
        <v>5</v>
      </c>
      <c r="S47" s="127">
        <v>8</v>
      </c>
      <c r="T47" s="127">
        <v>4</v>
      </c>
      <c r="U47" s="127">
        <v>4</v>
      </c>
      <c r="V47" s="127">
        <f t="shared" si="2"/>
        <v>750</v>
      </c>
      <c r="W47" s="125"/>
    </row>
    <row r="48" spans="1:23" ht="24">
      <c r="A48" s="127">
        <v>41</v>
      </c>
      <c r="B48" s="106" t="s">
        <v>1490</v>
      </c>
      <c r="C48" s="127" t="s">
        <v>1343</v>
      </c>
      <c r="D48" s="106" t="s">
        <v>1341</v>
      </c>
      <c r="E48" s="106" t="s">
        <v>1343</v>
      </c>
      <c r="F48" s="127" t="s">
        <v>1325</v>
      </c>
      <c r="G48" s="106" t="s">
        <v>1491</v>
      </c>
      <c r="H48" s="106" t="s">
        <v>1491</v>
      </c>
      <c r="I48" s="106" t="s">
        <v>1410</v>
      </c>
      <c r="J48" s="127">
        <v>10.2</v>
      </c>
      <c r="K48" s="127">
        <v>12000</v>
      </c>
      <c r="L48" s="127">
        <v>25</v>
      </c>
      <c r="M48" s="127">
        <v>25</v>
      </c>
      <c r="N48" s="127">
        <v>25</v>
      </c>
      <c r="O48" s="127">
        <v>12</v>
      </c>
      <c r="P48" s="127"/>
      <c r="Q48" s="127">
        <v>20</v>
      </c>
      <c r="R48" s="127">
        <v>5</v>
      </c>
      <c r="S48" s="127">
        <v>30</v>
      </c>
      <c r="T48" s="127">
        <v>10</v>
      </c>
      <c r="U48" s="127">
        <v>10</v>
      </c>
      <c r="V48" s="127">
        <f>L48*300</f>
        <v>7500</v>
      </c>
      <c r="W48" s="125"/>
    </row>
    <row r="49" spans="1:23" ht="24">
      <c r="A49" s="127">
        <v>42</v>
      </c>
      <c r="B49" s="106" t="s">
        <v>1590</v>
      </c>
      <c r="C49" s="127" t="s">
        <v>1344</v>
      </c>
      <c r="D49" s="106" t="s">
        <v>1341</v>
      </c>
      <c r="E49" s="106" t="s">
        <v>1591</v>
      </c>
      <c r="F49" s="127" t="s">
        <v>1325</v>
      </c>
      <c r="G49" s="127" t="s">
        <v>1580</v>
      </c>
      <c r="H49" s="106" t="s">
        <v>1592</v>
      </c>
      <c r="I49" s="106" t="s">
        <v>1410</v>
      </c>
      <c r="J49" s="127">
        <v>0.1768</v>
      </c>
      <c r="K49" s="127">
        <v>1640</v>
      </c>
      <c r="L49" s="127">
        <v>27</v>
      </c>
      <c r="M49" s="127">
        <v>27</v>
      </c>
      <c r="N49" s="127">
        <v>20</v>
      </c>
      <c r="O49" s="127">
        <v>27</v>
      </c>
      <c r="P49" s="127"/>
      <c r="Q49" s="127">
        <v>8</v>
      </c>
      <c r="R49" s="127">
        <v>5</v>
      </c>
      <c r="S49" s="127">
        <v>8</v>
      </c>
      <c r="T49" s="127">
        <v>4</v>
      </c>
      <c r="U49" s="127">
        <v>4</v>
      </c>
      <c r="V49" s="127">
        <f aca="true" t="shared" si="3" ref="V49:V56">L49*150</f>
        <v>4050</v>
      </c>
      <c r="W49" s="125"/>
    </row>
    <row r="50" spans="1:23" ht="24">
      <c r="A50" s="127">
        <v>43</v>
      </c>
      <c r="B50" s="106" t="s">
        <v>1411</v>
      </c>
      <c r="C50" s="127" t="s">
        <v>1343</v>
      </c>
      <c r="D50" s="106" t="s">
        <v>1341</v>
      </c>
      <c r="E50" s="106" t="s">
        <v>1411</v>
      </c>
      <c r="F50" s="127" t="s">
        <v>1325</v>
      </c>
      <c r="G50" s="127" t="s">
        <v>1580</v>
      </c>
      <c r="H50" s="106" t="s">
        <v>1593</v>
      </c>
      <c r="I50" s="106" t="s">
        <v>1410</v>
      </c>
      <c r="J50" s="127">
        <v>0.5087</v>
      </c>
      <c r="K50" s="127">
        <v>4890</v>
      </c>
      <c r="L50" s="127">
        <v>12</v>
      </c>
      <c r="M50" s="127">
        <v>12</v>
      </c>
      <c r="N50" s="127">
        <v>8</v>
      </c>
      <c r="O50" s="127">
        <v>12</v>
      </c>
      <c r="P50" s="127"/>
      <c r="Q50" s="127">
        <v>4</v>
      </c>
      <c r="R50" s="127">
        <v>5</v>
      </c>
      <c r="S50" s="127">
        <v>8</v>
      </c>
      <c r="T50" s="127">
        <v>4</v>
      </c>
      <c r="U50" s="127">
        <v>4</v>
      </c>
      <c r="V50" s="127">
        <f t="shared" si="3"/>
        <v>1800</v>
      </c>
      <c r="W50" s="125"/>
    </row>
    <row r="51" spans="1:23" ht="24">
      <c r="A51" s="127">
        <v>44</v>
      </c>
      <c r="B51" s="106" t="s">
        <v>1594</v>
      </c>
      <c r="C51" s="127" t="s">
        <v>1343</v>
      </c>
      <c r="D51" s="106" t="s">
        <v>1341</v>
      </c>
      <c r="E51" s="106" t="s">
        <v>1595</v>
      </c>
      <c r="F51" s="127" t="s">
        <v>1325</v>
      </c>
      <c r="G51" s="127" t="s">
        <v>1580</v>
      </c>
      <c r="H51" s="106" t="s">
        <v>1596</v>
      </c>
      <c r="I51" s="106" t="s">
        <v>1410</v>
      </c>
      <c r="J51" s="127">
        <v>0.6947</v>
      </c>
      <c r="K51" s="127">
        <v>9071</v>
      </c>
      <c r="L51" s="127">
        <v>16.5</v>
      </c>
      <c r="M51" s="127">
        <v>16.5</v>
      </c>
      <c r="N51" s="127">
        <v>10.5</v>
      </c>
      <c r="O51" s="127">
        <v>16.5</v>
      </c>
      <c r="P51" s="127"/>
      <c r="Q51" s="127">
        <v>10</v>
      </c>
      <c r="R51" s="127">
        <v>5</v>
      </c>
      <c r="S51" s="127">
        <v>8</v>
      </c>
      <c r="T51" s="127">
        <v>4</v>
      </c>
      <c r="U51" s="127">
        <v>4</v>
      </c>
      <c r="V51" s="127">
        <f t="shared" si="3"/>
        <v>2475</v>
      </c>
      <c r="W51" s="125"/>
    </row>
    <row r="52" spans="1:23" ht="24">
      <c r="A52" s="127">
        <v>45</v>
      </c>
      <c r="B52" s="106" t="s">
        <v>1597</v>
      </c>
      <c r="C52" s="127" t="s">
        <v>1343</v>
      </c>
      <c r="D52" s="106" t="s">
        <v>1341</v>
      </c>
      <c r="E52" s="106" t="s">
        <v>1598</v>
      </c>
      <c r="F52" s="127" t="s">
        <v>1325</v>
      </c>
      <c r="G52" s="127" t="s">
        <v>1580</v>
      </c>
      <c r="H52" s="106" t="s">
        <v>1578</v>
      </c>
      <c r="I52" s="106" t="s">
        <v>1410</v>
      </c>
      <c r="J52" s="127">
        <v>0.1601</v>
      </c>
      <c r="K52" s="127">
        <v>998</v>
      </c>
      <c r="L52" s="127">
        <v>9.5</v>
      </c>
      <c r="M52" s="127">
        <v>9.5</v>
      </c>
      <c r="N52" s="127">
        <v>7</v>
      </c>
      <c r="O52" s="127">
        <v>9.5</v>
      </c>
      <c r="P52" s="127"/>
      <c r="Q52" s="127">
        <v>5</v>
      </c>
      <c r="R52" s="127">
        <v>5</v>
      </c>
      <c r="S52" s="127">
        <v>8</v>
      </c>
      <c r="T52" s="127">
        <v>4</v>
      </c>
      <c r="U52" s="127">
        <v>4</v>
      </c>
      <c r="V52" s="127">
        <f t="shared" si="3"/>
        <v>1425</v>
      </c>
      <c r="W52" s="125"/>
    </row>
    <row r="53" spans="1:23" s="56" customFormat="1" ht="36">
      <c r="A53" s="127">
        <v>46</v>
      </c>
      <c r="B53" s="106" t="s">
        <v>1626</v>
      </c>
      <c r="C53" s="127" t="s">
        <v>779</v>
      </c>
      <c r="D53" s="106" t="s">
        <v>1627</v>
      </c>
      <c r="E53" s="106" t="s">
        <v>1628</v>
      </c>
      <c r="F53" s="127" t="s">
        <v>718</v>
      </c>
      <c r="G53" s="127" t="s">
        <v>1066</v>
      </c>
      <c r="H53" s="106" t="s">
        <v>1610</v>
      </c>
      <c r="I53" s="106" t="s">
        <v>1629</v>
      </c>
      <c r="J53" s="127">
        <v>0.13</v>
      </c>
      <c r="K53" s="127">
        <v>1000</v>
      </c>
      <c r="L53" s="127">
        <v>3</v>
      </c>
      <c r="M53" s="127">
        <v>3</v>
      </c>
      <c r="N53" s="127">
        <v>3</v>
      </c>
      <c r="O53" s="127">
        <v>2</v>
      </c>
      <c r="P53" s="127"/>
      <c r="Q53" s="127">
        <v>4</v>
      </c>
      <c r="R53" s="127">
        <v>4</v>
      </c>
      <c r="S53" s="127">
        <v>5</v>
      </c>
      <c r="T53" s="127">
        <v>3</v>
      </c>
      <c r="U53" s="127">
        <v>4</v>
      </c>
      <c r="V53" s="127">
        <f t="shared" si="3"/>
        <v>450</v>
      </c>
      <c r="W53" s="125"/>
    </row>
    <row r="54" spans="1:23" s="56" customFormat="1" ht="36">
      <c r="A54" s="127">
        <v>47</v>
      </c>
      <c r="B54" s="106" t="s">
        <v>1630</v>
      </c>
      <c r="C54" s="127" t="s">
        <v>779</v>
      </c>
      <c r="D54" s="106" t="s">
        <v>1627</v>
      </c>
      <c r="E54" s="106" t="s">
        <v>1631</v>
      </c>
      <c r="F54" s="127" t="s">
        <v>718</v>
      </c>
      <c r="G54" s="127" t="s">
        <v>1066</v>
      </c>
      <c r="H54" s="106" t="s">
        <v>1610</v>
      </c>
      <c r="I54" s="106" t="s">
        <v>1629</v>
      </c>
      <c r="J54" s="127">
        <v>0.25</v>
      </c>
      <c r="K54" s="127">
        <v>2500</v>
      </c>
      <c r="L54" s="127">
        <v>5</v>
      </c>
      <c r="M54" s="127">
        <v>5</v>
      </c>
      <c r="N54" s="127">
        <v>5</v>
      </c>
      <c r="O54" s="127">
        <v>2</v>
      </c>
      <c r="P54" s="127"/>
      <c r="Q54" s="127">
        <v>6</v>
      </c>
      <c r="R54" s="127">
        <v>5</v>
      </c>
      <c r="S54" s="127">
        <v>5</v>
      </c>
      <c r="T54" s="127">
        <v>3</v>
      </c>
      <c r="U54" s="127">
        <v>5</v>
      </c>
      <c r="V54" s="127">
        <f t="shared" si="3"/>
        <v>750</v>
      </c>
      <c r="W54" s="125"/>
    </row>
    <row r="55" spans="1:23" s="56" customFormat="1" ht="24">
      <c r="A55" s="127">
        <v>48</v>
      </c>
      <c r="B55" s="106" t="s">
        <v>1632</v>
      </c>
      <c r="C55" s="127" t="s">
        <v>778</v>
      </c>
      <c r="D55" s="106" t="s">
        <v>1627</v>
      </c>
      <c r="E55" s="106" t="s">
        <v>1613</v>
      </c>
      <c r="F55" s="127" t="s">
        <v>718</v>
      </c>
      <c r="G55" s="127" t="s">
        <v>1066</v>
      </c>
      <c r="H55" s="106" t="s">
        <v>1633</v>
      </c>
      <c r="I55" s="106" t="s">
        <v>1629</v>
      </c>
      <c r="J55" s="127">
        <v>0.5861</v>
      </c>
      <c r="K55" s="127">
        <v>3468</v>
      </c>
      <c r="L55" s="127">
        <v>8.7</v>
      </c>
      <c r="M55" s="127">
        <v>8.7</v>
      </c>
      <c r="N55" s="127">
        <v>8.7</v>
      </c>
      <c r="O55" s="127">
        <v>8.7</v>
      </c>
      <c r="P55" s="127"/>
      <c r="Q55" s="127">
        <v>8</v>
      </c>
      <c r="R55" s="127">
        <v>5</v>
      </c>
      <c r="S55" s="127">
        <v>6</v>
      </c>
      <c r="T55" s="127">
        <v>3</v>
      </c>
      <c r="U55" s="127">
        <v>2</v>
      </c>
      <c r="V55" s="127">
        <f t="shared" si="3"/>
        <v>1305</v>
      </c>
      <c r="W55" s="149"/>
    </row>
    <row r="56" spans="1:23" s="56" customFormat="1" ht="24">
      <c r="A56" s="127">
        <v>49</v>
      </c>
      <c r="B56" s="106" t="s">
        <v>1634</v>
      </c>
      <c r="C56" s="127" t="s">
        <v>778</v>
      </c>
      <c r="D56" s="106" t="s">
        <v>1627</v>
      </c>
      <c r="E56" s="106" t="s">
        <v>1635</v>
      </c>
      <c r="F56" s="127" t="s">
        <v>718</v>
      </c>
      <c r="G56" s="127" t="s">
        <v>1066</v>
      </c>
      <c r="H56" s="106" t="s">
        <v>1636</v>
      </c>
      <c r="I56" s="106" t="s">
        <v>1629</v>
      </c>
      <c r="J56" s="127">
        <v>0.4285</v>
      </c>
      <c r="K56" s="127">
        <v>2245.7</v>
      </c>
      <c r="L56" s="127">
        <v>6.2</v>
      </c>
      <c r="M56" s="127">
        <v>6.2</v>
      </c>
      <c r="N56" s="127">
        <v>6.2</v>
      </c>
      <c r="O56" s="127">
        <v>6.2</v>
      </c>
      <c r="P56" s="127"/>
      <c r="Q56" s="127">
        <v>4</v>
      </c>
      <c r="R56" s="127">
        <v>5</v>
      </c>
      <c r="S56" s="127">
        <v>5</v>
      </c>
      <c r="T56" s="127">
        <v>2</v>
      </c>
      <c r="U56" s="127">
        <v>2</v>
      </c>
      <c r="V56" s="127">
        <f t="shared" si="3"/>
        <v>930</v>
      </c>
      <c r="W56" s="149"/>
    </row>
    <row r="57" spans="1:23" ht="36">
      <c r="A57" s="127">
        <v>50</v>
      </c>
      <c r="B57" s="106" t="s">
        <v>1867</v>
      </c>
      <c r="C57" s="106" t="s">
        <v>1868</v>
      </c>
      <c r="D57" s="106" t="s">
        <v>1869</v>
      </c>
      <c r="E57" s="106" t="s">
        <v>1870</v>
      </c>
      <c r="F57" s="106" t="s">
        <v>1871</v>
      </c>
      <c r="G57" s="106" t="s">
        <v>1872</v>
      </c>
      <c r="H57" s="106" t="s">
        <v>1873</v>
      </c>
      <c r="I57" s="106" t="s">
        <v>1874</v>
      </c>
      <c r="J57" s="106">
        <v>0.1706</v>
      </c>
      <c r="K57" s="106">
        <v>1090</v>
      </c>
      <c r="L57" s="106">
        <v>7.68</v>
      </c>
      <c r="M57" s="106">
        <v>7.68</v>
      </c>
      <c r="N57" s="106">
        <v>7.68</v>
      </c>
      <c r="O57" s="106">
        <v>7.68</v>
      </c>
      <c r="P57" s="106"/>
      <c r="Q57" s="106">
        <v>3</v>
      </c>
      <c r="R57" s="106">
        <v>5</v>
      </c>
      <c r="S57" s="106">
        <v>8</v>
      </c>
      <c r="T57" s="106">
        <v>4</v>
      </c>
      <c r="U57" s="106">
        <v>4</v>
      </c>
      <c r="V57" s="106">
        <f>L57*300</f>
        <v>2304</v>
      </c>
      <c r="W57" s="106"/>
    </row>
    <row r="58" spans="1:23" ht="24">
      <c r="A58" s="127">
        <v>51</v>
      </c>
      <c r="B58" s="106" t="s">
        <v>1875</v>
      </c>
      <c r="C58" s="106" t="s">
        <v>1868</v>
      </c>
      <c r="D58" s="106" t="s">
        <v>1869</v>
      </c>
      <c r="E58" s="106" t="s">
        <v>1876</v>
      </c>
      <c r="F58" s="106" t="s">
        <v>1871</v>
      </c>
      <c r="G58" s="106" t="s">
        <v>1872</v>
      </c>
      <c r="H58" s="106" t="s">
        <v>1877</v>
      </c>
      <c r="I58" s="106" t="s">
        <v>1874</v>
      </c>
      <c r="J58" s="106">
        <v>0.3601</v>
      </c>
      <c r="K58" s="106">
        <v>3421</v>
      </c>
      <c r="L58" s="106">
        <v>4</v>
      </c>
      <c r="M58" s="106">
        <v>4</v>
      </c>
      <c r="N58" s="106">
        <v>4</v>
      </c>
      <c r="O58" s="106">
        <v>4</v>
      </c>
      <c r="P58" s="106"/>
      <c r="Q58" s="106">
        <v>1</v>
      </c>
      <c r="R58" s="106">
        <v>5</v>
      </c>
      <c r="S58" s="106">
        <v>8</v>
      </c>
      <c r="T58" s="106">
        <v>4</v>
      </c>
      <c r="U58" s="106">
        <v>4</v>
      </c>
      <c r="V58" s="106">
        <f>L58*300</f>
        <v>1200</v>
      </c>
      <c r="W58" s="106"/>
    </row>
    <row r="59" spans="1:23" ht="24">
      <c r="A59" s="127">
        <v>52</v>
      </c>
      <c r="B59" s="587" t="s">
        <v>2580</v>
      </c>
      <c r="C59" s="106" t="s">
        <v>1648</v>
      </c>
      <c r="D59" s="106"/>
      <c r="E59" s="587" t="s">
        <v>2581</v>
      </c>
      <c r="F59" s="106"/>
      <c r="G59" s="106" t="s">
        <v>96</v>
      </c>
      <c r="H59" s="587" t="s">
        <v>2582</v>
      </c>
      <c r="I59" s="106" t="s">
        <v>1874</v>
      </c>
      <c r="J59" s="106">
        <v>0.38</v>
      </c>
      <c r="K59" s="106">
        <v>3520</v>
      </c>
      <c r="L59" s="106">
        <v>7</v>
      </c>
      <c r="M59" s="106">
        <v>7</v>
      </c>
      <c r="N59" s="106">
        <v>7</v>
      </c>
      <c r="O59" s="106">
        <v>7</v>
      </c>
      <c r="P59" s="106"/>
      <c r="Q59" s="106">
        <v>2</v>
      </c>
      <c r="R59" s="106">
        <v>1</v>
      </c>
      <c r="S59" s="106">
        <v>5</v>
      </c>
      <c r="T59" s="106">
        <v>5</v>
      </c>
      <c r="U59" s="106">
        <v>5</v>
      </c>
      <c r="V59" s="106">
        <f>L59*300</f>
        <v>2100</v>
      </c>
      <c r="W59" s="106"/>
    </row>
    <row r="60" spans="1:23" ht="24">
      <c r="A60" s="127">
        <v>53</v>
      </c>
      <c r="B60" s="106" t="s">
        <v>1878</v>
      </c>
      <c r="C60" s="127" t="s">
        <v>1879</v>
      </c>
      <c r="D60" s="106" t="s">
        <v>1869</v>
      </c>
      <c r="E60" s="106" t="s">
        <v>1880</v>
      </c>
      <c r="F60" s="127" t="s">
        <v>1871</v>
      </c>
      <c r="G60" s="127" t="s">
        <v>1881</v>
      </c>
      <c r="H60" s="106" t="s">
        <v>1882</v>
      </c>
      <c r="I60" s="106" t="s">
        <v>1883</v>
      </c>
      <c r="J60" s="127">
        <v>0.03</v>
      </c>
      <c r="K60" s="127">
        <v>1500</v>
      </c>
      <c r="L60" s="127">
        <v>5</v>
      </c>
      <c r="M60" s="127">
        <v>5</v>
      </c>
      <c r="N60" s="127">
        <v>5</v>
      </c>
      <c r="O60" s="127">
        <v>5</v>
      </c>
      <c r="P60" s="127"/>
      <c r="Q60" s="127">
        <v>8</v>
      </c>
      <c r="R60" s="127">
        <v>5</v>
      </c>
      <c r="S60" s="127">
        <v>8</v>
      </c>
      <c r="T60" s="127">
        <v>4</v>
      </c>
      <c r="U60" s="127">
        <v>4</v>
      </c>
      <c r="V60" s="127">
        <f aca="true" t="shared" si="4" ref="V60:V66">L60*150</f>
        <v>750</v>
      </c>
      <c r="W60" s="125"/>
    </row>
    <row r="61" spans="1:23" ht="24">
      <c r="A61" s="127">
        <v>54</v>
      </c>
      <c r="B61" s="106" t="s">
        <v>1884</v>
      </c>
      <c r="C61" s="127" t="s">
        <v>1879</v>
      </c>
      <c r="D61" s="106" t="s">
        <v>1869</v>
      </c>
      <c r="E61" s="106" t="s">
        <v>1884</v>
      </c>
      <c r="F61" s="127" t="s">
        <v>1871</v>
      </c>
      <c r="G61" s="127" t="s">
        <v>1881</v>
      </c>
      <c r="H61" s="106" t="s">
        <v>1885</v>
      </c>
      <c r="I61" s="106" t="s">
        <v>1883</v>
      </c>
      <c r="J61" s="127">
        <v>0.045</v>
      </c>
      <c r="K61" s="127">
        <v>2500</v>
      </c>
      <c r="L61" s="127">
        <v>8</v>
      </c>
      <c r="M61" s="127">
        <v>8</v>
      </c>
      <c r="N61" s="127">
        <v>8</v>
      </c>
      <c r="O61" s="127">
        <v>8</v>
      </c>
      <c r="P61" s="127"/>
      <c r="Q61" s="127">
        <v>10</v>
      </c>
      <c r="R61" s="127">
        <v>8</v>
      </c>
      <c r="S61" s="127">
        <v>10</v>
      </c>
      <c r="T61" s="127">
        <v>5</v>
      </c>
      <c r="U61" s="127">
        <v>7</v>
      </c>
      <c r="V61" s="127">
        <f t="shared" si="4"/>
        <v>1200</v>
      </c>
      <c r="W61" s="125"/>
    </row>
    <row r="62" spans="1:23" ht="24">
      <c r="A62" s="127">
        <v>55</v>
      </c>
      <c r="B62" s="106" t="s">
        <v>1886</v>
      </c>
      <c r="C62" s="127" t="s">
        <v>1879</v>
      </c>
      <c r="D62" s="106" t="s">
        <v>1869</v>
      </c>
      <c r="E62" s="106" t="s">
        <v>1887</v>
      </c>
      <c r="F62" s="127" t="s">
        <v>1871</v>
      </c>
      <c r="G62" s="127" t="s">
        <v>1881</v>
      </c>
      <c r="H62" s="106" t="s">
        <v>1888</v>
      </c>
      <c r="I62" s="106" t="s">
        <v>1883</v>
      </c>
      <c r="J62" s="127">
        <v>0.0962</v>
      </c>
      <c r="K62" s="127">
        <v>2000</v>
      </c>
      <c r="L62" s="127">
        <v>9</v>
      </c>
      <c r="M62" s="127">
        <v>9</v>
      </c>
      <c r="N62" s="127">
        <v>9</v>
      </c>
      <c r="O62" s="127">
        <v>9</v>
      </c>
      <c r="P62" s="127"/>
      <c r="Q62" s="127">
        <v>5</v>
      </c>
      <c r="R62" s="127">
        <v>9</v>
      </c>
      <c r="S62" s="127">
        <v>16</v>
      </c>
      <c r="T62" s="127">
        <v>5</v>
      </c>
      <c r="U62" s="127">
        <v>8</v>
      </c>
      <c r="V62" s="127">
        <f t="shared" si="4"/>
        <v>1350</v>
      </c>
      <c r="W62" s="125"/>
    </row>
    <row r="63" spans="1:23" ht="24">
      <c r="A63" s="127">
        <v>56</v>
      </c>
      <c r="B63" s="106" t="s">
        <v>1889</v>
      </c>
      <c r="C63" s="127" t="s">
        <v>1879</v>
      </c>
      <c r="D63" s="106" t="s">
        <v>1869</v>
      </c>
      <c r="E63" s="106" t="s">
        <v>1889</v>
      </c>
      <c r="F63" s="127" t="s">
        <v>1871</v>
      </c>
      <c r="G63" s="127" t="s">
        <v>1881</v>
      </c>
      <c r="H63" s="106" t="s">
        <v>1890</v>
      </c>
      <c r="I63" s="106" t="s">
        <v>1883</v>
      </c>
      <c r="J63" s="127">
        <v>0.86</v>
      </c>
      <c r="K63" s="127">
        <v>3200</v>
      </c>
      <c r="L63" s="127">
        <v>21</v>
      </c>
      <c r="M63" s="127">
        <v>21</v>
      </c>
      <c r="N63" s="127">
        <v>21</v>
      </c>
      <c r="O63" s="127">
        <v>4</v>
      </c>
      <c r="P63" s="127"/>
      <c r="Q63" s="127">
        <v>10</v>
      </c>
      <c r="R63" s="127">
        <v>6</v>
      </c>
      <c r="S63" s="127">
        <v>15</v>
      </c>
      <c r="T63" s="127">
        <v>5</v>
      </c>
      <c r="U63" s="127">
        <v>6</v>
      </c>
      <c r="V63" s="127">
        <f>L63*300</f>
        <v>6300</v>
      </c>
      <c r="W63" s="125"/>
    </row>
    <row r="64" spans="1:23" ht="36">
      <c r="A64" s="127">
        <v>57</v>
      </c>
      <c r="B64" s="106" t="s">
        <v>1891</v>
      </c>
      <c r="C64" s="127" t="s">
        <v>1879</v>
      </c>
      <c r="D64" s="106" t="s">
        <v>1869</v>
      </c>
      <c r="E64" s="106" t="s">
        <v>1892</v>
      </c>
      <c r="F64" s="127" t="s">
        <v>1871</v>
      </c>
      <c r="G64" s="127" t="s">
        <v>1881</v>
      </c>
      <c r="H64" s="106" t="s">
        <v>1888</v>
      </c>
      <c r="I64" s="106" t="s">
        <v>1883</v>
      </c>
      <c r="J64" s="127">
        <v>0.073</v>
      </c>
      <c r="K64" s="127">
        <v>500</v>
      </c>
      <c r="L64" s="127">
        <v>9</v>
      </c>
      <c r="M64" s="127">
        <v>9</v>
      </c>
      <c r="N64" s="127">
        <v>9</v>
      </c>
      <c r="O64" s="127">
        <v>9</v>
      </c>
      <c r="P64" s="127"/>
      <c r="Q64" s="127">
        <v>4</v>
      </c>
      <c r="R64" s="127">
        <v>3</v>
      </c>
      <c r="S64" s="127">
        <v>8</v>
      </c>
      <c r="T64" s="127">
        <v>7</v>
      </c>
      <c r="U64" s="127">
        <v>4</v>
      </c>
      <c r="V64" s="127">
        <f>L64*150</f>
        <v>1350</v>
      </c>
      <c r="W64" s="125"/>
    </row>
    <row r="65" spans="1:23" ht="24">
      <c r="A65" s="127">
        <v>58</v>
      </c>
      <c r="B65" s="106" t="s">
        <v>1893</v>
      </c>
      <c r="C65" s="127" t="s">
        <v>1894</v>
      </c>
      <c r="D65" s="106" t="s">
        <v>1869</v>
      </c>
      <c r="E65" s="106" t="s">
        <v>1895</v>
      </c>
      <c r="F65" s="127" t="s">
        <v>1871</v>
      </c>
      <c r="G65" s="127" t="s">
        <v>1881</v>
      </c>
      <c r="H65" s="106" t="s">
        <v>1896</v>
      </c>
      <c r="I65" s="106" t="s">
        <v>1883</v>
      </c>
      <c r="J65" s="127">
        <v>0.0963</v>
      </c>
      <c r="K65" s="127">
        <v>1800</v>
      </c>
      <c r="L65" s="127">
        <v>3</v>
      </c>
      <c r="M65" s="127">
        <v>3</v>
      </c>
      <c r="N65" s="127">
        <v>3</v>
      </c>
      <c r="O65" s="127">
        <v>3</v>
      </c>
      <c r="P65" s="127"/>
      <c r="Q65" s="127">
        <v>8</v>
      </c>
      <c r="R65" s="127">
        <v>7</v>
      </c>
      <c r="S65" s="127">
        <v>5</v>
      </c>
      <c r="T65" s="127">
        <v>6</v>
      </c>
      <c r="U65" s="127">
        <v>8</v>
      </c>
      <c r="V65" s="127">
        <f t="shared" si="4"/>
        <v>450</v>
      </c>
      <c r="W65" s="125"/>
    </row>
    <row r="66" spans="1:23" ht="36">
      <c r="A66" s="127">
        <v>59</v>
      </c>
      <c r="B66" s="106" t="s">
        <v>1897</v>
      </c>
      <c r="C66" s="127" t="s">
        <v>1898</v>
      </c>
      <c r="D66" s="106" t="s">
        <v>1869</v>
      </c>
      <c r="E66" s="106" t="s">
        <v>1899</v>
      </c>
      <c r="F66" s="127" t="s">
        <v>1871</v>
      </c>
      <c r="G66" s="127" t="s">
        <v>1881</v>
      </c>
      <c r="H66" s="106" t="s">
        <v>1900</v>
      </c>
      <c r="I66" s="106" t="s">
        <v>1883</v>
      </c>
      <c r="J66" s="127">
        <v>0.0862</v>
      </c>
      <c r="K66" s="127">
        <v>1000</v>
      </c>
      <c r="L66" s="127">
        <v>10</v>
      </c>
      <c r="M66" s="127">
        <v>10</v>
      </c>
      <c r="N66" s="127">
        <v>10</v>
      </c>
      <c r="O66" s="127">
        <v>10</v>
      </c>
      <c r="P66" s="127"/>
      <c r="Q66" s="127">
        <v>5</v>
      </c>
      <c r="R66" s="127">
        <v>4</v>
      </c>
      <c r="S66" s="127">
        <v>5</v>
      </c>
      <c r="T66" s="127">
        <v>8</v>
      </c>
      <c r="U66" s="127">
        <v>6</v>
      </c>
      <c r="V66" s="127">
        <f t="shared" si="4"/>
        <v>1500</v>
      </c>
      <c r="W66" s="125"/>
    </row>
    <row r="67" spans="1:23" ht="24">
      <c r="A67" s="127">
        <v>60</v>
      </c>
      <c r="B67" s="106" t="s">
        <v>1901</v>
      </c>
      <c r="C67" s="127" t="s">
        <v>1902</v>
      </c>
      <c r="D67" s="106" t="s">
        <v>1869</v>
      </c>
      <c r="E67" s="106" t="s">
        <v>1903</v>
      </c>
      <c r="F67" s="127" t="s">
        <v>1871</v>
      </c>
      <c r="G67" s="127" t="s">
        <v>1881</v>
      </c>
      <c r="H67" s="106" t="s">
        <v>1904</v>
      </c>
      <c r="I67" s="106" t="s">
        <v>1883</v>
      </c>
      <c r="J67" s="127">
        <v>0.0779</v>
      </c>
      <c r="K67" s="127">
        <v>400</v>
      </c>
      <c r="L67" s="127">
        <v>12</v>
      </c>
      <c r="M67" s="127">
        <v>12</v>
      </c>
      <c r="N67" s="127">
        <v>12</v>
      </c>
      <c r="O67" s="127">
        <v>12</v>
      </c>
      <c r="P67" s="127"/>
      <c r="Q67" s="127">
        <v>4</v>
      </c>
      <c r="R67" s="127">
        <v>4</v>
      </c>
      <c r="S67" s="127">
        <v>4</v>
      </c>
      <c r="T67" s="127">
        <v>3</v>
      </c>
      <c r="U67" s="127">
        <v>6</v>
      </c>
      <c r="V67" s="127">
        <f aca="true" t="shared" si="5" ref="V67:V72">L67*150</f>
        <v>1800</v>
      </c>
      <c r="W67" s="125"/>
    </row>
    <row r="68" spans="1:23" ht="36">
      <c r="A68" s="127">
        <v>61</v>
      </c>
      <c r="B68" s="106" t="s">
        <v>1905</v>
      </c>
      <c r="C68" s="127" t="s">
        <v>1879</v>
      </c>
      <c r="D68" s="106" t="s">
        <v>1869</v>
      </c>
      <c r="E68" s="106" t="s">
        <v>1906</v>
      </c>
      <c r="F68" s="127" t="s">
        <v>1871</v>
      </c>
      <c r="G68" s="127" t="s">
        <v>1881</v>
      </c>
      <c r="H68" s="119" t="s">
        <v>1888</v>
      </c>
      <c r="I68" s="106" t="s">
        <v>1883</v>
      </c>
      <c r="J68" s="127">
        <v>0.0623</v>
      </c>
      <c r="K68" s="127">
        <v>600</v>
      </c>
      <c r="L68" s="150">
        <v>2.5</v>
      </c>
      <c r="M68" s="150">
        <v>2.5</v>
      </c>
      <c r="N68" s="150">
        <v>2.5</v>
      </c>
      <c r="O68" s="150">
        <v>2.5</v>
      </c>
      <c r="P68" s="151"/>
      <c r="Q68" s="127">
        <v>3</v>
      </c>
      <c r="R68" s="127">
        <v>2</v>
      </c>
      <c r="S68" s="127">
        <v>3</v>
      </c>
      <c r="T68" s="127">
        <v>3</v>
      </c>
      <c r="U68" s="127">
        <v>3</v>
      </c>
      <c r="V68" s="150">
        <f t="shared" si="5"/>
        <v>375</v>
      </c>
      <c r="W68" s="151"/>
    </row>
    <row r="69" spans="1:23" ht="36">
      <c r="A69" s="127">
        <v>62</v>
      </c>
      <c r="B69" s="119" t="s">
        <v>1907</v>
      </c>
      <c r="C69" s="127" t="s">
        <v>1879</v>
      </c>
      <c r="D69" s="106" t="s">
        <v>1869</v>
      </c>
      <c r="E69" s="119" t="s">
        <v>1908</v>
      </c>
      <c r="F69" s="127" t="s">
        <v>1871</v>
      </c>
      <c r="G69" s="127" t="s">
        <v>1881</v>
      </c>
      <c r="H69" s="119" t="s">
        <v>1888</v>
      </c>
      <c r="I69" s="106" t="s">
        <v>1883</v>
      </c>
      <c r="J69" s="127">
        <v>0.639</v>
      </c>
      <c r="K69" s="127">
        <v>300</v>
      </c>
      <c r="L69" s="150">
        <v>1.8</v>
      </c>
      <c r="M69" s="150">
        <v>1.8</v>
      </c>
      <c r="N69" s="150">
        <v>1.8</v>
      </c>
      <c r="O69" s="150">
        <v>1.8</v>
      </c>
      <c r="P69" s="151"/>
      <c r="Q69" s="127">
        <v>1</v>
      </c>
      <c r="R69" s="127"/>
      <c r="S69" s="127"/>
      <c r="T69" s="127">
        <v>2</v>
      </c>
      <c r="U69" s="127">
        <v>2</v>
      </c>
      <c r="V69" s="150">
        <f t="shared" si="5"/>
        <v>270</v>
      </c>
      <c r="W69" s="151"/>
    </row>
    <row r="70" spans="1:23" ht="48">
      <c r="A70" s="127">
        <v>63</v>
      </c>
      <c r="B70" s="119" t="s">
        <v>1909</v>
      </c>
      <c r="C70" s="127" t="s">
        <v>1879</v>
      </c>
      <c r="D70" s="106" t="s">
        <v>1869</v>
      </c>
      <c r="E70" s="119" t="s">
        <v>1910</v>
      </c>
      <c r="F70" s="127" t="s">
        <v>1871</v>
      </c>
      <c r="G70" s="127" t="s">
        <v>1881</v>
      </c>
      <c r="H70" s="119" t="s">
        <v>1888</v>
      </c>
      <c r="I70" s="106" t="s">
        <v>1883</v>
      </c>
      <c r="J70" s="127">
        <v>0.0473</v>
      </c>
      <c r="K70" s="127">
        <v>300</v>
      </c>
      <c r="L70" s="150">
        <v>1.6</v>
      </c>
      <c r="M70" s="150">
        <v>1.6</v>
      </c>
      <c r="N70" s="150">
        <v>1.6</v>
      </c>
      <c r="O70" s="150">
        <v>1.6</v>
      </c>
      <c r="P70" s="151"/>
      <c r="Q70" s="127">
        <v>1</v>
      </c>
      <c r="R70" s="127"/>
      <c r="S70" s="127"/>
      <c r="T70" s="127">
        <v>2</v>
      </c>
      <c r="U70" s="127">
        <v>2</v>
      </c>
      <c r="V70" s="150">
        <f t="shared" si="5"/>
        <v>240</v>
      </c>
      <c r="W70" s="151"/>
    </row>
    <row r="71" spans="1:23" s="531" customFormat="1" ht="37.5" customHeight="1">
      <c r="A71" s="127">
        <v>64</v>
      </c>
      <c r="B71" s="587" t="s">
        <v>1346</v>
      </c>
      <c r="C71" s="496" t="s">
        <v>1879</v>
      </c>
      <c r="D71" s="587" t="s">
        <v>1341</v>
      </c>
      <c r="E71" s="588" t="s">
        <v>643</v>
      </c>
      <c r="F71" s="496" t="s">
        <v>39</v>
      </c>
      <c r="G71" s="496" t="s">
        <v>1298</v>
      </c>
      <c r="H71" s="587" t="s">
        <v>641</v>
      </c>
      <c r="I71" s="587" t="s">
        <v>1410</v>
      </c>
      <c r="J71" s="496">
        <v>0.4</v>
      </c>
      <c r="K71" s="496">
        <v>1000</v>
      </c>
      <c r="L71" s="589">
        <v>2</v>
      </c>
      <c r="M71" s="589">
        <v>2</v>
      </c>
      <c r="N71" s="589">
        <v>2</v>
      </c>
      <c r="O71" s="589">
        <v>2</v>
      </c>
      <c r="P71" s="590"/>
      <c r="Q71" s="496">
        <v>2</v>
      </c>
      <c r="R71" s="496">
        <v>4</v>
      </c>
      <c r="S71" s="496">
        <v>2</v>
      </c>
      <c r="T71" s="496">
        <v>2</v>
      </c>
      <c r="U71" s="496">
        <v>1</v>
      </c>
      <c r="V71" s="589">
        <f t="shared" si="5"/>
        <v>300</v>
      </c>
      <c r="W71" s="590"/>
    </row>
    <row r="72" spans="1:23" s="531" customFormat="1" ht="37.5" customHeight="1">
      <c r="A72" s="127">
        <v>65</v>
      </c>
      <c r="B72" s="587" t="s">
        <v>1346</v>
      </c>
      <c r="C72" s="496" t="s">
        <v>1879</v>
      </c>
      <c r="D72" s="587" t="s">
        <v>1341</v>
      </c>
      <c r="E72" s="588" t="s">
        <v>642</v>
      </c>
      <c r="F72" s="496" t="s">
        <v>39</v>
      </c>
      <c r="G72" s="496" t="s">
        <v>1298</v>
      </c>
      <c r="H72" s="587" t="s">
        <v>644</v>
      </c>
      <c r="I72" s="587" t="s">
        <v>1410</v>
      </c>
      <c r="J72" s="589">
        <v>0.3</v>
      </c>
      <c r="K72" s="589">
        <v>1500</v>
      </c>
      <c r="L72" s="589">
        <v>4</v>
      </c>
      <c r="M72" s="589">
        <v>4</v>
      </c>
      <c r="N72" s="589">
        <v>4</v>
      </c>
      <c r="O72" s="589">
        <v>4</v>
      </c>
      <c r="P72" s="590"/>
      <c r="Q72" s="589">
        <v>4</v>
      </c>
      <c r="R72" s="589">
        <v>6</v>
      </c>
      <c r="S72" s="589">
        <v>8</v>
      </c>
      <c r="T72" s="589">
        <v>4</v>
      </c>
      <c r="U72" s="496">
        <v>1</v>
      </c>
      <c r="V72" s="589">
        <f t="shared" si="5"/>
        <v>600</v>
      </c>
      <c r="W72" s="590"/>
    </row>
    <row r="87" spans="11:13" ht="13.5">
      <c r="K87" s="47"/>
      <c r="L87" s="47"/>
      <c r="M87" s="47"/>
    </row>
    <row r="88" spans="10:21" ht="13.5">
      <c r="J88" s="515"/>
      <c r="K88" s="591"/>
      <c r="L88" s="592"/>
      <c r="M88" s="591"/>
      <c r="N88" s="515"/>
      <c r="O88" s="515"/>
      <c r="P88" s="515"/>
      <c r="Q88" s="515"/>
      <c r="R88" s="515"/>
      <c r="S88" s="515"/>
      <c r="T88" s="515"/>
      <c r="U88" s="515"/>
    </row>
    <row r="89" spans="11:13" ht="13.5">
      <c r="K89" s="47"/>
      <c r="L89" s="47"/>
      <c r="M89" s="47"/>
    </row>
    <row r="90" spans="11:13" ht="13.5">
      <c r="K90" s="47"/>
      <c r="L90" s="47"/>
      <c r="M90" s="47"/>
    </row>
  </sheetData>
  <sheetProtection/>
  <mergeCells count="27">
    <mergeCell ref="U4:U5"/>
    <mergeCell ref="N4:N5"/>
    <mergeCell ref="O4:O5"/>
    <mergeCell ref="P4:P5"/>
    <mergeCell ref="Q4:Q5"/>
    <mergeCell ref="R4:S4"/>
    <mergeCell ref="T4:T5"/>
    <mergeCell ref="W3:W5"/>
    <mergeCell ref="B4:B5"/>
    <mergeCell ref="E4:E5"/>
    <mergeCell ref="F4:F5"/>
    <mergeCell ref="G4:G5"/>
    <mergeCell ref="H4:H5"/>
    <mergeCell ref="V4:V5"/>
    <mergeCell ref="K4:K5"/>
    <mergeCell ref="L4:L5"/>
    <mergeCell ref="M4:M5"/>
    <mergeCell ref="C4:C5"/>
    <mergeCell ref="D4:D5"/>
    <mergeCell ref="I4:I5"/>
    <mergeCell ref="J4:J5"/>
    <mergeCell ref="A1:W1"/>
    <mergeCell ref="A3:A5"/>
    <mergeCell ref="B3:E3"/>
    <mergeCell ref="F3:H3"/>
    <mergeCell ref="I3:K3"/>
    <mergeCell ref="L3:V3"/>
  </mergeCells>
  <conditionalFormatting sqref="A4:A5 A3:B3 L3:N3 F3:G3 I3 W3:W5 B4:K4">
    <cfRule type="cellIs" priority="1" dxfId="6" operator="equal" stopIfTrue="1">
      <formula>0</formula>
    </cfRule>
  </conditionalFormatting>
  <printOptions horizontalCentered="1"/>
  <pageMargins left="0.7086614173228347" right="0.2755905511811024" top="0.7480314960629921" bottom="0.7480314960629921" header="0.31496062992125984" footer="0.31496062992125984"/>
  <pageSetup horizontalDpi="600" verticalDpi="600" orientation="landscape" paperSize="8" r:id="rId1"/>
  <headerFooter>
    <oddFooter>&amp;C第 &amp;P 页，共 &amp;N 页</oddFooter>
  </headerFooter>
</worksheet>
</file>

<file path=xl/worksheets/sheet19.xml><?xml version="1.0" encoding="utf-8"?>
<worksheet xmlns="http://schemas.openxmlformats.org/spreadsheetml/2006/main" xmlns:r="http://schemas.openxmlformats.org/officeDocument/2006/relationships">
  <sheetPr>
    <tabColor rgb="FFFF0000"/>
  </sheetPr>
  <dimension ref="A1:T25"/>
  <sheetViews>
    <sheetView zoomScalePageLayoutView="0" workbookViewId="0" topLeftCell="A1">
      <selection activeCell="N23" sqref="N23"/>
    </sheetView>
  </sheetViews>
  <sheetFormatPr defaultColWidth="9.00390625" defaultRowHeight="13.5"/>
  <cols>
    <col min="1" max="1" width="6.375" style="0" customWidth="1"/>
    <col min="16" max="16" width="10.25390625" style="0" customWidth="1"/>
  </cols>
  <sheetData>
    <row r="1" spans="1:20" ht="18.75">
      <c r="A1" s="872" t="s">
        <v>1699</v>
      </c>
      <c r="B1" s="856"/>
      <c r="C1" s="856"/>
      <c r="D1" s="856"/>
      <c r="E1" s="856"/>
      <c r="F1" s="856"/>
      <c r="G1" s="856"/>
      <c r="H1" s="856"/>
      <c r="I1" s="856"/>
      <c r="J1" s="856"/>
      <c r="K1" s="856"/>
      <c r="L1" s="856"/>
      <c r="M1" s="856"/>
      <c r="N1" s="856"/>
      <c r="O1" s="856"/>
      <c r="P1" s="856"/>
      <c r="Q1" s="856"/>
      <c r="R1" s="856"/>
      <c r="S1" s="856"/>
      <c r="T1" s="856"/>
    </row>
    <row r="2" spans="1:20" ht="13.5">
      <c r="A2" s="49"/>
      <c r="B2" s="49"/>
      <c r="C2" s="49"/>
      <c r="D2" s="49"/>
      <c r="E2" s="49"/>
      <c r="F2" s="49"/>
      <c r="G2" s="49"/>
      <c r="H2" s="49"/>
      <c r="I2" s="49"/>
      <c r="J2" s="49"/>
      <c r="K2" s="49"/>
      <c r="L2" s="49"/>
      <c r="M2" s="49"/>
      <c r="N2" s="49"/>
      <c r="O2" s="49"/>
      <c r="P2" s="49"/>
      <c r="Q2" s="49"/>
      <c r="R2" s="49"/>
      <c r="S2" s="49"/>
      <c r="T2" s="49"/>
    </row>
    <row r="3" spans="1:20" ht="13.5" customHeight="1">
      <c r="A3" s="857" t="s">
        <v>1126</v>
      </c>
      <c r="B3" s="873" t="s">
        <v>1127</v>
      </c>
      <c r="C3" s="870" t="s">
        <v>1128</v>
      </c>
      <c r="D3" s="854" t="s">
        <v>1129</v>
      </c>
      <c r="E3" s="854" t="s">
        <v>663</v>
      </c>
      <c r="F3" s="854" t="s">
        <v>739</v>
      </c>
      <c r="G3" s="867" t="s">
        <v>1130</v>
      </c>
      <c r="H3" s="870" t="s">
        <v>1911</v>
      </c>
      <c r="I3" s="870" t="s">
        <v>1131</v>
      </c>
      <c r="J3" s="870" t="s">
        <v>1132</v>
      </c>
      <c r="K3" s="870" t="s">
        <v>1133</v>
      </c>
      <c r="L3" s="870"/>
      <c r="M3" s="870"/>
      <c r="N3" s="870" t="s">
        <v>1134</v>
      </c>
      <c r="O3" s="870" t="s">
        <v>1135</v>
      </c>
      <c r="P3" s="870" t="s">
        <v>1136</v>
      </c>
      <c r="Q3" s="870" t="s">
        <v>1137</v>
      </c>
      <c r="R3" s="870"/>
      <c r="S3" s="870"/>
      <c r="T3" s="857" t="s">
        <v>1138</v>
      </c>
    </row>
    <row r="4" spans="1:20" ht="13.5">
      <c r="A4" s="857"/>
      <c r="B4" s="873"/>
      <c r="C4" s="870"/>
      <c r="D4" s="874"/>
      <c r="E4" s="874"/>
      <c r="F4" s="874"/>
      <c r="G4" s="868"/>
      <c r="H4" s="870"/>
      <c r="I4" s="870"/>
      <c r="J4" s="870"/>
      <c r="K4" s="875" t="s">
        <v>1912</v>
      </c>
      <c r="L4" s="871" t="s">
        <v>1913</v>
      </c>
      <c r="M4" s="871" t="s">
        <v>1139</v>
      </c>
      <c r="N4" s="870"/>
      <c r="O4" s="870"/>
      <c r="P4" s="870"/>
      <c r="Q4" s="871" t="s">
        <v>1914</v>
      </c>
      <c r="R4" s="877" t="s">
        <v>1915</v>
      </c>
      <c r="S4" s="871" t="s">
        <v>1916</v>
      </c>
      <c r="T4" s="857"/>
    </row>
    <row r="5" spans="1:20" ht="13.5">
      <c r="A5" s="857"/>
      <c r="B5" s="873"/>
      <c r="C5" s="870"/>
      <c r="D5" s="855"/>
      <c r="E5" s="855"/>
      <c r="F5" s="855"/>
      <c r="G5" s="869"/>
      <c r="H5" s="870"/>
      <c r="I5" s="870"/>
      <c r="J5" s="870"/>
      <c r="K5" s="876"/>
      <c r="L5" s="871"/>
      <c r="M5" s="871"/>
      <c r="N5" s="870"/>
      <c r="O5" s="870"/>
      <c r="P5" s="870"/>
      <c r="Q5" s="871"/>
      <c r="R5" s="878"/>
      <c r="S5" s="871"/>
      <c r="T5" s="857"/>
    </row>
    <row r="6" spans="1:20" ht="13.5">
      <c r="A6" s="142">
        <v>-1</v>
      </c>
      <c r="B6" s="142">
        <v>-2</v>
      </c>
      <c r="C6" s="142">
        <v>-3</v>
      </c>
      <c r="D6" s="142">
        <v>-4</v>
      </c>
      <c r="E6" s="142">
        <v>-5</v>
      </c>
      <c r="F6" s="142">
        <v>-6</v>
      </c>
      <c r="G6" s="142">
        <v>-7</v>
      </c>
      <c r="H6" s="142">
        <v>-8</v>
      </c>
      <c r="I6" s="142">
        <v>-9</v>
      </c>
      <c r="J6" s="142">
        <v>-10</v>
      </c>
      <c r="K6" s="142">
        <v>-11</v>
      </c>
      <c r="L6" s="142">
        <v>-12</v>
      </c>
      <c r="M6" s="142">
        <v>-13</v>
      </c>
      <c r="N6" s="142">
        <v>-14</v>
      </c>
      <c r="O6" s="142">
        <v>-15</v>
      </c>
      <c r="P6" s="142">
        <v>-16</v>
      </c>
      <c r="Q6" s="142">
        <v>-17</v>
      </c>
      <c r="R6" s="142">
        <v>-18</v>
      </c>
      <c r="S6" s="142">
        <v>-19</v>
      </c>
      <c r="T6" s="142">
        <v>-21</v>
      </c>
    </row>
    <row r="7" spans="1:20" ht="13.5">
      <c r="A7" s="144" t="s">
        <v>1917</v>
      </c>
      <c r="B7" s="144"/>
      <c r="C7" s="144"/>
      <c r="D7" s="144"/>
      <c r="E7" s="144"/>
      <c r="F7" s="144"/>
      <c r="G7" s="144"/>
      <c r="H7" s="144"/>
      <c r="I7" s="144"/>
      <c r="J7" s="144"/>
      <c r="K7" s="144"/>
      <c r="L7" s="152">
        <f>SUM(L8:L25)</f>
        <v>13.294100000000006</v>
      </c>
      <c r="M7" s="152">
        <f aca="true" t="shared" si="0" ref="M7:S7">SUM(M8:M25)</f>
        <v>8.599999999999998</v>
      </c>
      <c r="N7" s="152">
        <f t="shared" si="0"/>
        <v>0</v>
      </c>
      <c r="O7" s="152">
        <f t="shared" si="0"/>
        <v>0</v>
      </c>
      <c r="P7" s="152">
        <f t="shared" si="0"/>
        <v>1340</v>
      </c>
      <c r="Q7" s="152">
        <f t="shared" si="0"/>
        <v>373.4</v>
      </c>
      <c r="R7" s="152">
        <f t="shared" si="0"/>
        <v>1.1802</v>
      </c>
      <c r="S7" s="152">
        <f t="shared" si="0"/>
        <v>0</v>
      </c>
      <c r="T7" s="144"/>
    </row>
    <row r="8" spans="1:20" ht="24">
      <c r="A8" s="106">
        <v>1</v>
      </c>
      <c r="B8" s="106" t="s">
        <v>1918</v>
      </c>
      <c r="C8" s="153" t="s">
        <v>1141</v>
      </c>
      <c r="D8" s="106" t="s">
        <v>1919</v>
      </c>
      <c r="E8" s="106" t="s">
        <v>1920</v>
      </c>
      <c r="F8" s="106" t="s">
        <v>1921</v>
      </c>
      <c r="G8" s="106" t="s">
        <v>1922</v>
      </c>
      <c r="H8" s="106">
        <v>120</v>
      </c>
      <c r="I8" s="106">
        <v>1989</v>
      </c>
      <c r="J8" s="127" t="s">
        <v>1923</v>
      </c>
      <c r="K8" s="106" t="s">
        <v>1924</v>
      </c>
      <c r="L8" s="154">
        <v>1.2</v>
      </c>
      <c r="M8" s="106">
        <v>0.3</v>
      </c>
      <c r="N8" s="106" t="s">
        <v>1925</v>
      </c>
      <c r="O8" s="106" t="s">
        <v>1926</v>
      </c>
      <c r="P8" s="106">
        <v>150</v>
      </c>
      <c r="Q8" s="106">
        <v>50</v>
      </c>
      <c r="R8" s="106">
        <v>0.4</v>
      </c>
      <c r="S8" s="106"/>
      <c r="T8" s="106"/>
    </row>
    <row r="9" spans="1:20" ht="24">
      <c r="A9" s="106">
        <v>2</v>
      </c>
      <c r="B9" s="106" t="s">
        <v>1927</v>
      </c>
      <c r="C9" s="153" t="s">
        <v>1928</v>
      </c>
      <c r="D9" s="106" t="s">
        <v>1919</v>
      </c>
      <c r="E9" s="106" t="s">
        <v>1920</v>
      </c>
      <c r="F9" s="106" t="s">
        <v>1921</v>
      </c>
      <c r="G9" s="106" t="s">
        <v>1922</v>
      </c>
      <c r="H9" s="106">
        <v>90</v>
      </c>
      <c r="I9" s="106">
        <v>1994</v>
      </c>
      <c r="J9" s="127" t="s">
        <v>1923</v>
      </c>
      <c r="K9" s="106" t="s">
        <v>1924</v>
      </c>
      <c r="L9" s="154">
        <v>1.2</v>
      </c>
      <c r="M9" s="106">
        <v>0.3</v>
      </c>
      <c r="N9" s="106" t="s">
        <v>1925</v>
      </c>
      <c r="O9" s="106" t="s">
        <v>1926</v>
      </c>
      <c r="P9" s="106">
        <v>150</v>
      </c>
      <c r="Q9" s="106">
        <v>35</v>
      </c>
      <c r="R9" s="106">
        <v>0.2</v>
      </c>
      <c r="S9" s="106"/>
      <c r="T9" s="106"/>
    </row>
    <row r="10" spans="1:20" ht="24">
      <c r="A10" s="106">
        <v>3</v>
      </c>
      <c r="B10" s="106" t="s">
        <v>1929</v>
      </c>
      <c r="C10" s="153" t="s">
        <v>1928</v>
      </c>
      <c r="D10" s="106" t="s">
        <v>1919</v>
      </c>
      <c r="E10" s="106" t="s">
        <v>1920</v>
      </c>
      <c r="F10" s="106" t="s">
        <v>1921</v>
      </c>
      <c r="G10" s="106" t="s">
        <v>1922</v>
      </c>
      <c r="H10" s="106">
        <v>90</v>
      </c>
      <c r="I10" s="106">
        <v>1997</v>
      </c>
      <c r="J10" s="127" t="s">
        <v>1923</v>
      </c>
      <c r="K10" s="106" t="s">
        <v>1924</v>
      </c>
      <c r="L10" s="154">
        <v>1.2</v>
      </c>
      <c r="M10" s="106">
        <v>0.3</v>
      </c>
      <c r="N10" s="106" t="s">
        <v>1925</v>
      </c>
      <c r="O10" s="106" t="s">
        <v>1926</v>
      </c>
      <c r="P10" s="106">
        <v>150</v>
      </c>
      <c r="Q10" s="106">
        <v>30</v>
      </c>
      <c r="R10" s="106">
        <v>0.2</v>
      </c>
      <c r="S10" s="106"/>
      <c r="T10" s="106"/>
    </row>
    <row r="11" spans="1:20" ht="24">
      <c r="A11" s="106">
        <v>4</v>
      </c>
      <c r="B11" s="153" t="s">
        <v>1930</v>
      </c>
      <c r="C11" s="153" t="s">
        <v>1928</v>
      </c>
      <c r="D11" s="106" t="s">
        <v>1919</v>
      </c>
      <c r="E11" s="106" t="s">
        <v>1931</v>
      </c>
      <c r="F11" s="106" t="s">
        <v>1921</v>
      </c>
      <c r="G11" s="106" t="s">
        <v>1922</v>
      </c>
      <c r="H11" s="106">
        <v>5.8</v>
      </c>
      <c r="I11" s="106">
        <v>2002</v>
      </c>
      <c r="J11" s="127" t="s">
        <v>1923</v>
      </c>
      <c r="K11" s="106" t="s">
        <v>1932</v>
      </c>
      <c r="L11" s="154">
        <v>0.2563</v>
      </c>
      <c r="M11" s="106">
        <v>0.45</v>
      </c>
      <c r="N11" s="153" t="s">
        <v>1143</v>
      </c>
      <c r="O11" s="153" t="s">
        <v>1933</v>
      </c>
      <c r="P11" s="106">
        <v>60</v>
      </c>
      <c r="Q11" s="106">
        <v>50</v>
      </c>
      <c r="R11" s="153">
        <v>0.0422</v>
      </c>
      <c r="S11" s="106"/>
      <c r="T11" s="106"/>
    </row>
    <row r="12" spans="1:20" ht="24">
      <c r="A12" s="106">
        <v>5</v>
      </c>
      <c r="B12" s="153" t="s">
        <v>1934</v>
      </c>
      <c r="C12" s="153" t="s">
        <v>1928</v>
      </c>
      <c r="D12" s="106" t="s">
        <v>1919</v>
      </c>
      <c r="E12" s="106" t="s">
        <v>1931</v>
      </c>
      <c r="F12" s="106" t="s">
        <v>1921</v>
      </c>
      <c r="G12" s="106" t="s">
        <v>1922</v>
      </c>
      <c r="H12" s="106">
        <v>5.8</v>
      </c>
      <c r="I12" s="106">
        <v>2002</v>
      </c>
      <c r="J12" s="127" t="s">
        <v>1923</v>
      </c>
      <c r="K12" s="106" t="s">
        <v>1924</v>
      </c>
      <c r="L12" s="154">
        <v>0.0655</v>
      </c>
      <c r="M12" s="106">
        <v>0.5</v>
      </c>
      <c r="N12" s="153" t="s">
        <v>1143</v>
      </c>
      <c r="O12" s="153" t="s">
        <v>1933</v>
      </c>
      <c r="P12" s="106">
        <v>60</v>
      </c>
      <c r="Q12" s="106">
        <v>50</v>
      </c>
      <c r="R12" s="153">
        <v>0.065</v>
      </c>
      <c r="S12" s="106"/>
      <c r="T12" s="106"/>
    </row>
    <row r="13" spans="1:20" ht="24">
      <c r="A13" s="106">
        <v>6</v>
      </c>
      <c r="B13" s="153" t="s">
        <v>1935</v>
      </c>
      <c r="C13" s="153" t="s">
        <v>1928</v>
      </c>
      <c r="D13" s="106" t="s">
        <v>1919</v>
      </c>
      <c r="E13" s="106" t="s">
        <v>1931</v>
      </c>
      <c r="F13" s="106" t="s">
        <v>1921</v>
      </c>
      <c r="G13" s="106" t="s">
        <v>1922</v>
      </c>
      <c r="H13" s="106">
        <v>5.8</v>
      </c>
      <c r="I13" s="106">
        <v>2002</v>
      </c>
      <c r="J13" s="127" t="s">
        <v>1923</v>
      </c>
      <c r="K13" s="106" t="s">
        <v>1924</v>
      </c>
      <c r="L13" s="154">
        <v>0.0423</v>
      </c>
      <c r="M13" s="106"/>
      <c r="N13" s="153" t="s">
        <v>1143</v>
      </c>
      <c r="O13" s="153" t="s">
        <v>1933</v>
      </c>
      <c r="P13" s="106">
        <v>60</v>
      </c>
      <c r="Q13" s="106">
        <v>50</v>
      </c>
      <c r="R13" s="153">
        <v>0.013</v>
      </c>
      <c r="S13" s="106"/>
      <c r="T13" s="106"/>
    </row>
    <row r="14" spans="1:20" ht="36">
      <c r="A14" s="106">
        <v>7</v>
      </c>
      <c r="B14" s="153" t="s">
        <v>1936</v>
      </c>
      <c r="C14" s="153" t="s">
        <v>1928</v>
      </c>
      <c r="D14" s="127" t="s">
        <v>1919</v>
      </c>
      <c r="E14" s="127" t="s">
        <v>1937</v>
      </c>
      <c r="F14" s="127" t="s">
        <v>1921</v>
      </c>
      <c r="G14" s="127" t="s">
        <v>1922</v>
      </c>
      <c r="H14" s="127">
        <v>4.5</v>
      </c>
      <c r="I14" s="127">
        <v>1992</v>
      </c>
      <c r="J14" s="127" t="s">
        <v>1923</v>
      </c>
      <c r="K14" s="106" t="s">
        <v>1938</v>
      </c>
      <c r="L14" s="136">
        <v>0.28</v>
      </c>
      <c r="M14" s="127">
        <v>0.18</v>
      </c>
      <c r="N14" s="106" t="s">
        <v>1939</v>
      </c>
      <c r="O14" s="106" t="s">
        <v>1940</v>
      </c>
      <c r="P14" s="127">
        <v>60</v>
      </c>
      <c r="Q14" s="127">
        <v>2.4</v>
      </c>
      <c r="R14" s="127">
        <v>0.08</v>
      </c>
      <c r="S14" s="127"/>
      <c r="T14" s="127"/>
    </row>
    <row r="15" spans="1:20" ht="36">
      <c r="A15" s="106">
        <v>8</v>
      </c>
      <c r="B15" s="153" t="s">
        <v>1941</v>
      </c>
      <c r="C15" s="153" t="s">
        <v>1928</v>
      </c>
      <c r="D15" s="127" t="s">
        <v>1919</v>
      </c>
      <c r="E15" s="127" t="s">
        <v>1920</v>
      </c>
      <c r="F15" s="127" t="s">
        <v>1921</v>
      </c>
      <c r="G15" s="127" t="s">
        <v>1922</v>
      </c>
      <c r="H15" s="127">
        <v>120</v>
      </c>
      <c r="I15" s="127">
        <v>1999</v>
      </c>
      <c r="J15" s="127" t="s">
        <v>1923</v>
      </c>
      <c r="K15" s="154" t="s">
        <v>1942</v>
      </c>
      <c r="L15" s="136">
        <v>3.8</v>
      </c>
      <c r="M15" s="127">
        <v>5</v>
      </c>
      <c r="N15" s="127" t="s">
        <v>1925</v>
      </c>
      <c r="O15" s="127" t="s">
        <v>1926</v>
      </c>
      <c r="P15" s="127">
        <v>120</v>
      </c>
      <c r="Q15" s="127">
        <v>50</v>
      </c>
      <c r="R15" s="127">
        <v>0.04</v>
      </c>
      <c r="S15" s="127"/>
      <c r="T15" s="155"/>
    </row>
    <row r="16" spans="1:20" ht="24">
      <c r="A16" s="106">
        <v>9</v>
      </c>
      <c r="B16" s="106" t="s">
        <v>1943</v>
      </c>
      <c r="C16" s="153" t="s">
        <v>1141</v>
      </c>
      <c r="D16" s="106" t="s">
        <v>1944</v>
      </c>
      <c r="E16" s="106" t="s">
        <v>1945</v>
      </c>
      <c r="F16" s="106" t="s">
        <v>1946</v>
      </c>
      <c r="G16" s="106" t="s">
        <v>1947</v>
      </c>
      <c r="H16" s="106">
        <v>90</v>
      </c>
      <c r="I16" s="106">
        <v>2002</v>
      </c>
      <c r="J16" s="127" t="s">
        <v>1948</v>
      </c>
      <c r="K16" s="106" t="s">
        <v>1949</v>
      </c>
      <c r="L16" s="154">
        <v>1.5</v>
      </c>
      <c r="M16" s="106">
        <v>0.45</v>
      </c>
      <c r="N16" s="106" t="s">
        <v>1950</v>
      </c>
      <c r="O16" s="106" t="s">
        <v>1951</v>
      </c>
      <c r="P16" s="106">
        <v>60</v>
      </c>
      <c r="Q16" s="106">
        <v>8</v>
      </c>
      <c r="R16" s="106">
        <v>0.02</v>
      </c>
      <c r="S16" s="106"/>
      <c r="T16" s="106"/>
    </row>
    <row r="17" spans="1:20" ht="24">
      <c r="A17" s="106">
        <v>10</v>
      </c>
      <c r="B17" s="106" t="s">
        <v>1952</v>
      </c>
      <c r="C17" s="153" t="s">
        <v>1953</v>
      </c>
      <c r="D17" s="106" t="s">
        <v>1944</v>
      </c>
      <c r="E17" s="106" t="s">
        <v>1945</v>
      </c>
      <c r="F17" s="106" t="s">
        <v>1946</v>
      </c>
      <c r="G17" s="106" t="s">
        <v>1947</v>
      </c>
      <c r="H17" s="106">
        <v>90</v>
      </c>
      <c r="I17" s="106">
        <v>1975</v>
      </c>
      <c r="J17" s="127" t="s">
        <v>1948</v>
      </c>
      <c r="K17" s="106" t="s">
        <v>1949</v>
      </c>
      <c r="L17" s="154">
        <v>1.6</v>
      </c>
      <c r="M17" s="106">
        <v>0.5</v>
      </c>
      <c r="N17" s="106" t="s">
        <v>1950</v>
      </c>
      <c r="O17" s="106" t="s">
        <v>1951</v>
      </c>
      <c r="P17" s="106">
        <v>60</v>
      </c>
      <c r="Q17" s="106">
        <v>10</v>
      </c>
      <c r="R17" s="106">
        <v>0.025</v>
      </c>
      <c r="S17" s="106"/>
      <c r="T17" s="106"/>
    </row>
    <row r="18" spans="1:20" ht="24">
      <c r="A18" s="106">
        <v>11</v>
      </c>
      <c r="B18" s="106" t="s">
        <v>1954</v>
      </c>
      <c r="C18" s="153" t="s">
        <v>1141</v>
      </c>
      <c r="D18" s="106" t="s">
        <v>1944</v>
      </c>
      <c r="E18" s="106" t="s">
        <v>1945</v>
      </c>
      <c r="F18" s="106" t="s">
        <v>1946</v>
      </c>
      <c r="G18" s="106" t="s">
        <v>1947</v>
      </c>
      <c r="H18" s="106">
        <v>90</v>
      </c>
      <c r="I18" s="106">
        <v>1980</v>
      </c>
      <c r="J18" s="127" t="s">
        <v>1948</v>
      </c>
      <c r="K18" s="106" t="s">
        <v>1949</v>
      </c>
      <c r="L18" s="154">
        <v>1.8</v>
      </c>
      <c r="M18" s="106">
        <v>0.55</v>
      </c>
      <c r="N18" s="106" t="s">
        <v>1950</v>
      </c>
      <c r="O18" s="106" t="s">
        <v>1951</v>
      </c>
      <c r="P18" s="106">
        <v>60</v>
      </c>
      <c r="Q18" s="106">
        <v>10</v>
      </c>
      <c r="R18" s="153">
        <v>0.025</v>
      </c>
      <c r="S18" s="106"/>
      <c r="T18" s="106"/>
    </row>
    <row r="19" spans="1:20" ht="13.5">
      <c r="A19" s="106">
        <v>12</v>
      </c>
      <c r="B19" s="106" t="s">
        <v>1955</v>
      </c>
      <c r="C19" s="153" t="s">
        <v>1956</v>
      </c>
      <c r="D19" s="106" t="s">
        <v>1944</v>
      </c>
      <c r="E19" s="106" t="s">
        <v>1945</v>
      </c>
      <c r="F19" s="106" t="s">
        <v>1946</v>
      </c>
      <c r="G19" s="106" t="s">
        <v>1957</v>
      </c>
      <c r="H19" s="106">
        <v>5</v>
      </c>
      <c r="I19" s="106" t="s">
        <v>1958</v>
      </c>
      <c r="J19" s="127" t="s">
        <v>1948</v>
      </c>
      <c r="K19" s="106" t="s">
        <v>1959</v>
      </c>
      <c r="L19" s="154">
        <v>0.05</v>
      </c>
      <c r="M19" s="106">
        <v>0.01</v>
      </c>
      <c r="N19" s="106"/>
      <c r="O19" s="106"/>
      <c r="P19" s="106">
        <v>50</v>
      </c>
      <c r="Q19" s="106">
        <v>4</v>
      </c>
      <c r="R19" s="106">
        <v>0.01</v>
      </c>
      <c r="S19" s="106"/>
      <c r="T19" s="106"/>
    </row>
    <row r="20" spans="1:20" ht="24">
      <c r="A20" s="106">
        <v>13</v>
      </c>
      <c r="B20" s="106" t="s">
        <v>1960</v>
      </c>
      <c r="C20" s="153" t="s">
        <v>1956</v>
      </c>
      <c r="D20" s="106" t="s">
        <v>1944</v>
      </c>
      <c r="E20" s="106" t="s">
        <v>1945</v>
      </c>
      <c r="F20" s="106" t="s">
        <v>1946</v>
      </c>
      <c r="G20" s="106" t="s">
        <v>1957</v>
      </c>
      <c r="H20" s="106">
        <v>5</v>
      </c>
      <c r="I20" s="106" t="s">
        <v>1958</v>
      </c>
      <c r="J20" s="127" t="s">
        <v>1948</v>
      </c>
      <c r="K20" s="106" t="s">
        <v>1959</v>
      </c>
      <c r="L20" s="154">
        <v>0.05</v>
      </c>
      <c r="M20" s="106">
        <v>0.01</v>
      </c>
      <c r="N20" s="106"/>
      <c r="O20" s="106"/>
      <c r="P20" s="106">
        <v>50</v>
      </c>
      <c r="Q20" s="106">
        <v>4</v>
      </c>
      <c r="R20" s="106">
        <v>0.01</v>
      </c>
      <c r="S20" s="106"/>
      <c r="T20" s="106"/>
    </row>
    <row r="21" spans="1:20" ht="24">
      <c r="A21" s="106">
        <v>14</v>
      </c>
      <c r="B21" s="106" t="s">
        <v>1961</v>
      </c>
      <c r="C21" s="153" t="s">
        <v>1956</v>
      </c>
      <c r="D21" s="106" t="s">
        <v>1944</v>
      </c>
      <c r="E21" s="106" t="s">
        <v>1945</v>
      </c>
      <c r="F21" s="106" t="s">
        <v>1946</v>
      </c>
      <c r="G21" s="106" t="s">
        <v>1957</v>
      </c>
      <c r="H21" s="106">
        <v>5</v>
      </c>
      <c r="I21" s="106" t="s">
        <v>1958</v>
      </c>
      <c r="J21" s="127" t="s">
        <v>1948</v>
      </c>
      <c r="K21" s="106" t="s">
        <v>1959</v>
      </c>
      <c r="L21" s="154">
        <v>0.05</v>
      </c>
      <c r="M21" s="106">
        <v>0.01</v>
      </c>
      <c r="N21" s="106"/>
      <c r="O21" s="106"/>
      <c r="P21" s="106">
        <v>50</v>
      </c>
      <c r="Q21" s="106">
        <v>4</v>
      </c>
      <c r="R21" s="106">
        <v>0.01</v>
      </c>
      <c r="S21" s="106"/>
      <c r="T21" s="106"/>
    </row>
    <row r="22" spans="1:20" ht="24">
      <c r="A22" s="106">
        <v>15</v>
      </c>
      <c r="B22" s="106" t="s">
        <v>1962</v>
      </c>
      <c r="C22" s="153" t="s">
        <v>1956</v>
      </c>
      <c r="D22" s="106" t="s">
        <v>1944</v>
      </c>
      <c r="E22" s="106" t="s">
        <v>1945</v>
      </c>
      <c r="F22" s="106" t="s">
        <v>1946</v>
      </c>
      <c r="G22" s="106" t="s">
        <v>1957</v>
      </c>
      <c r="H22" s="106">
        <v>5</v>
      </c>
      <c r="I22" s="106" t="s">
        <v>1958</v>
      </c>
      <c r="J22" s="127" t="s">
        <v>1948</v>
      </c>
      <c r="K22" s="106" t="s">
        <v>1959</v>
      </c>
      <c r="L22" s="154">
        <v>0.05</v>
      </c>
      <c r="M22" s="106">
        <v>0.01</v>
      </c>
      <c r="N22" s="106"/>
      <c r="O22" s="106"/>
      <c r="P22" s="106">
        <v>50</v>
      </c>
      <c r="Q22" s="106">
        <v>4</v>
      </c>
      <c r="R22" s="106">
        <v>0.01</v>
      </c>
      <c r="S22" s="106"/>
      <c r="T22" s="106"/>
    </row>
    <row r="23" spans="1:20" ht="13.5">
      <c r="A23" s="106">
        <v>16</v>
      </c>
      <c r="B23" s="106" t="s">
        <v>1963</v>
      </c>
      <c r="C23" s="153" t="s">
        <v>1956</v>
      </c>
      <c r="D23" s="106" t="s">
        <v>1944</v>
      </c>
      <c r="E23" s="106" t="s">
        <v>1945</v>
      </c>
      <c r="F23" s="106" t="s">
        <v>1946</v>
      </c>
      <c r="G23" s="106" t="s">
        <v>1957</v>
      </c>
      <c r="H23" s="106">
        <v>5</v>
      </c>
      <c r="I23" s="106" t="s">
        <v>1958</v>
      </c>
      <c r="J23" s="127" t="s">
        <v>1948</v>
      </c>
      <c r="K23" s="106" t="s">
        <v>1959</v>
      </c>
      <c r="L23" s="154">
        <v>0.05</v>
      </c>
      <c r="M23" s="106">
        <v>0.01</v>
      </c>
      <c r="N23" s="153"/>
      <c r="O23" s="153"/>
      <c r="P23" s="106">
        <v>50</v>
      </c>
      <c r="Q23" s="106">
        <v>4</v>
      </c>
      <c r="R23" s="106">
        <v>0.01</v>
      </c>
      <c r="S23" s="106"/>
      <c r="T23" s="106"/>
    </row>
    <row r="24" spans="1:20" ht="24">
      <c r="A24" s="106">
        <v>17</v>
      </c>
      <c r="B24" s="106" t="s">
        <v>1964</v>
      </c>
      <c r="C24" s="153" t="s">
        <v>1956</v>
      </c>
      <c r="D24" s="106" t="s">
        <v>1944</v>
      </c>
      <c r="E24" s="106" t="s">
        <v>1945</v>
      </c>
      <c r="F24" s="106" t="s">
        <v>1946</v>
      </c>
      <c r="G24" s="106" t="s">
        <v>1957</v>
      </c>
      <c r="H24" s="106">
        <v>5</v>
      </c>
      <c r="I24" s="106" t="s">
        <v>1958</v>
      </c>
      <c r="J24" s="127" t="s">
        <v>1948</v>
      </c>
      <c r="K24" s="106" t="s">
        <v>1959</v>
      </c>
      <c r="L24" s="154">
        <v>0.05</v>
      </c>
      <c r="M24" s="106">
        <v>0.01</v>
      </c>
      <c r="N24" s="153"/>
      <c r="O24" s="153"/>
      <c r="P24" s="106">
        <v>50</v>
      </c>
      <c r="Q24" s="106">
        <v>4</v>
      </c>
      <c r="R24" s="106">
        <v>0.01</v>
      </c>
      <c r="S24" s="106"/>
      <c r="T24" s="106"/>
    </row>
    <row r="25" spans="1:20" ht="24">
      <c r="A25" s="106">
        <v>18</v>
      </c>
      <c r="B25" s="106" t="s">
        <v>1965</v>
      </c>
      <c r="C25" s="153" t="s">
        <v>1956</v>
      </c>
      <c r="D25" s="106" t="s">
        <v>1944</v>
      </c>
      <c r="E25" s="106" t="s">
        <v>1945</v>
      </c>
      <c r="F25" s="106" t="s">
        <v>1946</v>
      </c>
      <c r="G25" s="106" t="s">
        <v>1957</v>
      </c>
      <c r="H25" s="106">
        <v>5</v>
      </c>
      <c r="I25" s="106" t="s">
        <v>1958</v>
      </c>
      <c r="J25" s="127" t="s">
        <v>1948</v>
      </c>
      <c r="K25" s="106" t="s">
        <v>1959</v>
      </c>
      <c r="L25" s="154">
        <v>0.05</v>
      </c>
      <c r="M25" s="106">
        <v>0.01</v>
      </c>
      <c r="N25" s="153"/>
      <c r="O25" s="153"/>
      <c r="P25" s="106">
        <v>50</v>
      </c>
      <c r="Q25" s="106">
        <v>4</v>
      </c>
      <c r="R25" s="106">
        <v>0.01</v>
      </c>
      <c r="S25" s="106"/>
      <c r="T25" s="106"/>
    </row>
  </sheetData>
  <sheetProtection/>
  <mergeCells count="23">
    <mergeCell ref="T3:T5"/>
    <mergeCell ref="K4:K5"/>
    <mergeCell ref="L4:L5"/>
    <mergeCell ref="M4:M5"/>
    <mergeCell ref="Q4:Q5"/>
    <mergeCell ref="R4:R5"/>
    <mergeCell ref="A1:T1"/>
    <mergeCell ref="A3:A5"/>
    <mergeCell ref="B3:B5"/>
    <mergeCell ref="C3:C5"/>
    <mergeCell ref="D3:D5"/>
    <mergeCell ref="E3:E5"/>
    <mergeCell ref="F3:F5"/>
    <mergeCell ref="J3:J5"/>
    <mergeCell ref="K3:M3"/>
    <mergeCell ref="N3:N5"/>
    <mergeCell ref="G3:G5"/>
    <mergeCell ref="H3:H5"/>
    <mergeCell ref="I3:I5"/>
    <mergeCell ref="S4:S5"/>
    <mergeCell ref="P3:P5"/>
    <mergeCell ref="Q3:S3"/>
    <mergeCell ref="O3:O5"/>
  </mergeCells>
  <conditionalFormatting sqref="A4:A5 A3:B3 G4:J4 T3:T5 C4 D3:F3 K3:K4">
    <cfRule type="cellIs" priority="1" dxfId="6" operator="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00B050"/>
  </sheetPr>
  <dimension ref="A1:R18"/>
  <sheetViews>
    <sheetView zoomScalePageLayoutView="0" workbookViewId="0" topLeftCell="A1">
      <selection activeCell="F19" sqref="F19"/>
    </sheetView>
  </sheetViews>
  <sheetFormatPr defaultColWidth="9.00390625" defaultRowHeight="13.5"/>
  <cols>
    <col min="1" max="1" width="5.00390625" style="0" customWidth="1"/>
    <col min="2" max="2" width="11.625" style="0" customWidth="1"/>
  </cols>
  <sheetData>
    <row r="1" spans="1:14" ht="18.75">
      <c r="A1" s="688" t="s">
        <v>806</v>
      </c>
      <c r="B1" s="689"/>
      <c r="C1" s="689"/>
      <c r="D1" s="689"/>
      <c r="E1" s="689"/>
      <c r="F1" s="689"/>
      <c r="G1" s="689"/>
      <c r="H1" s="689"/>
      <c r="I1" s="689"/>
      <c r="J1" s="689"/>
      <c r="K1" s="689"/>
      <c r="L1" s="689"/>
      <c r="M1" s="689"/>
      <c r="N1" s="689"/>
    </row>
    <row r="2" spans="1:15" s="30" customFormat="1" ht="12">
      <c r="A2" s="690" t="s">
        <v>646</v>
      </c>
      <c r="B2" s="690" t="s">
        <v>740</v>
      </c>
      <c r="C2" s="691" t="s">
        <v>741</v>
      </c>
      <c r="D2" s="691" t="s">
        <v>742</v>
      </c>
      <c r="E2" s="691" t="s">
        <v>743</v>
      </c>
      <c r="F2" s="690" t="s">
        <v>744</v>
      </c>
      <c r="G2" s="693" t="s">
        <v>864</v>
      </c>
      <c r="H2" s="693" t="s">
        <v>865</v>
      </c>
      <c r="I2" s="693" t="s">
        <v>866</v>
      </c>
      <c r="J2" s="695" t="s">
        <v>745</v>
      </c>
      <c r="K2" s="695" t="s">
        <v>746</v>
      </c>
      <c r="L2" s="695" t="s">
        <v>747</v>
      </c>
      <c r="M2" s="695" t="s">
        <v>748</v>
      </c>
      <c r="N2" s="7" t="s">
        <v>749</v>
      </c>
      <c r="O2" s="697" t="s">
        <v>1288</v>
      </c>
    </row>
    <row r="3" spans="1:15" s="30" customFormat="1" ht="24">
      <c r="A3" s="690"/>
      <c r="B3" s="690"/>
      <c r="C3" s="692"/>
      <c r="D3" s="692"/>
      <c r="E3" s="692"/>
      <c r="F3" s="690"/>
      <c r="G3" s="693"/>
      <c r="H3" s="693"/>
      <c r="I3" s="694"/>
      <c r="J3" s="696"/>
      <c r="K3" s="696"/>
      <c r="L3" s="695"/>
      <c r="M3" s="695"/>
      <c r="N3" s="7" t="s">
        <v>750</v>
      </c>
      <c r="O3" s="698"/>
    </row>
    <row r="4" spans="1:18" ht="19.5" customHeight="1">
      <c r="A4" s="8">
        <v>1</v>
      </c>
      <c r="B4" s="8" t="s">
        <v>766</v>
      </c>
      <c r="C4" s="8" t="s">
        <v>751</v>
      </c>
      <c r="D4" s="8" t="s">
        <v>755</v>
      </c>
      <c r="E4" s="10" t="s">
        <v>718</v>
      </c>
      <c r="F4" s="10" t="s">
        <v>723</v>
      </c>
      <c r="G4" s="11">
        <v>10107.7</v>
      </c>
      <c r="H4" s="11">
        <v>7362.41</v>
      </c>
      <c r="I4" s="12">
        <v>10493.5</v>
      </c>
      <c r="J4" s="11"/>
      <c r="K4" s="13"/>
      <c r="L4" s="13">
        <v>5</v>
      </c>
      <c r="M4" s="13">
        <v>5.36</v>
      </c>
      <c r="N4" s="11">
        <v>180182.25</v>
      </c>
      <c r="O4" s="3"/>
      <c r="R4" s="223"/>
    </row>
    <row r="5" spans="1:18" ht="19.5" customHeight="1">
      <c r="A5" s="8">
        <v>2</v>
      </c>
      <c r="B5" s="8" t="s">
        <v>752</v>
      </c>
      <c r="C5" s="8" t="s">
        <v>751</v>
      </c>
      <c r="D5" s="8" t="s">
        <v>756</v>
      </c>
      <c r="E5" s="10" t="s">
        <v>718</v>
      </c>
      <c r="F5" s="10" t="s">
        <v>723</v>
      </c>
      <c r="G5" s="11">
        <v>1761.2</v>
      </c>
      <c r="H5" s="11">
        <v>976.1</v>
      </c>
      <c r="I5" s="12">
        <v>2227.1</v>
      </c>
      <c r="J5" s="13">
        <v>0.87</v>
      </c>
      <c r="K5" s="13"/>
      <c r="L5" s="13">
        <v>2.73</v>
      </c>
      <c r="M5" s="13"/>
      <c r="N5" s="11">
        <v>21670.98</v>
      </c>
      <c r="O5" s="3"/>
      <c r="R5" s="223"/>
    </row>
    <row r="6" spans="1:18" ht="19.5" customHeight="1">
      <c r="A6" s="8">
        <v>3</v>
      </c>
      <c r="B6" s="268" t="s">
        <v>757</v>
      </c>
      <c r="C6" s="9" t="s">
        <v>751</v>
      </c>
      <c r="D6" s="9" t="s">
        <v>754</v>
      </c>
      <c r="E6" s="9" t="s">
        <v>718</v>
      </c>
      <c r="F6" s="10" t="s">
        <v>758</v>
      </c>
      <c r="G6" s="16">
        <v>139.41</v>
      </c>
      <c r="H6" s="16">
        <v>91.73</v>
      </c>
      <c r="I6" s="14">
        <v>130.8</v>
      </c>
      <c r="J6" s="15">
        <v>0.66</v>
      </c>
      <c r="K6" s="15">
        <v>0.33</v>
      </c>
      <c r="L6" s="15">
        <v>0.12</v>
      </c>
      <c r="M6" s="15">
        <v>0.35</v>
      </c>
      <c r="N6" s="16">
        <v>6154.2</v>
      </c>
      <c r="O6" s="3"/>
      <c r="R6" s="223"/>
    </row>
    <row r="7" spans="1:18" ht="19.5" customHeight="1">
      <c r="A7" s="8">
        <v>4</v>
      </c>
      <c r="B7" s="268" t="s">
        <v>759</v>
      </c>
      <c r="C7" s="9" t="s">
        <v>751</v>
      </c>
      <c r="D7" s="9" t="s">
        <v>754</v>
      </c>
      <c r="E7" s="9" t="s">
        <v>718</v>
      </c>
      <c r="F7" s="10" t="s">
        <v>723</v>
      </c>
      <c r="G7" s="16">
        <v>160.5</v>
      </c>
      <c r="H7" s="16">
        <v>91.9</v>
      </c>
      <c r="I7" s="14">
        <v>91.9</v>
      </c>
      <c r="J7" s="15"/>
      <c r="K7" s="15"/>
      <c r="L7" s="15"/>
      <c r="M7" s="15">
        <v>0.3044</v>
      </c>
      <c r="N7" s="16">
        <v>6316</v>
      </c>
      <c r="O7" s="3"/>
      <c r="R7" s="223"/>
    </row>
    <row r="8" spans="1:18" ht="19.5" customHeight="1">
      <c r="A8" s="8">
        <v>5</v>
      </c>
      <c r="B8" s="268" t="s">
        <v>760</v>
      </c>
      <c r="C8" s="9" t="s">
        <v>751</v>
      </c>
      <c r="D8" s="9" t="s">
        <v>754</v>
      </c>
      <c r="E8" s="9" t="s">
        <v>718</v>
      </c>
      <c r="F8" s="10" t="s">
        <v>723</v>
      </c>
      <c r="G8" s="16">
        <v>115.66</v>
      </c>
      <c r="H8" s="16">
        <v>74.6</v>
      </c>
      <c r="I8" s="18">
        <v>96.3</v>
      </c>
      <c r="J8" s="15"/>
      <c r="K8" s="15"/>
      <c r="L8" s="15">
        <v>0.1563</v>
      </c>
      <c r="M8" s="15"/>
      <c r="N8" s="16">
        <v>4160</v>
      </c>
      <c r="O8" s="3"/>
      <c r="R8" s="223"/>
    </row>
    <row r="9" spans="1:18" ht="19.5" customHeight="1">
      <c r="A9" s="8">
        <v>6</v>
      </c>
      <c r="B9" s="269" t="s">
        <v>753</v>
      </c>
      <c r="C9" s="9" t="s">
        <v>751</v>
      </c>
      <c r="D9" s="9" t="s">
        <v>754</v>
      </c>
      <c r="E9" s="9" t="s">
        <v>718</v>
      </c>
      <c r="F9" s="10" t="s">
        <v>723</v>
      </c>
      <c r="G9" s="17">
        <v>162.86</v>
      </c>
      <c r="H9" s="17">
        <v>87.59</v>
      </c>
      <c r="I9" s="17">
        <v>125.25</v>
      </c>
      <c r="J9" s="17"/>
      <c r="K9" s="17"/>
      <c r="L9" s="17">
        <v>0.18</v>
      </c>
      <c r="M9" s="17"/>
      <c r="N9" s="19">
        <v>5531.6842</v>
      </c>
      <c r="O9" s="3"/>
      <c r="R9" s="223"/>
    </row>
    <row r="10" spans="1:18" ht="19.5" customHeight="1">
      <c r="A10" s="8">
        <v>7</v>
      </c>
      <c r="B10" s="269" t="s">
        <v>761</v>
      </c>
      <c r="C10" s="9" t="s">
        <v>751</v>
      </c>
      <c r="D10" s="9" t="s">
        <v>754</v>
      </c>
      <c r="E10" s="9" t="s">
        <v>718</v>
      </c>
      <c r="F10" s="10" t="s">
        <v>723</v>
      </c>
      <c r="G10" s="17">
        <v>211.21</v>
      </c>
      <c r="H10" s="17">
        <v>141.2</v>
      </c>
      <c r="I10" s="17">
        <v>176.5</v>
      </c>
      <c r="J10" s="17"/>
      <c r="K10" s="17"/>
      <c r="L10" s="17">
        <v>0.4646</v>
      </c>
      <c r="M10" s="17">
        <v>0.12</v>
      </c>
      <c r="N10" s="19">
        <v>3143.112</v>
      </c>
      <c r="O10" s="3"/>
      <c r="R10" s="223"/>
    </row>
    <row r="11" spans="1:18" ht="19.5" customHeight="1">
      <c r="A11" s="8">
        <v>8</v>
      </c>
      <c r="B11" s="269" t="s">
        <v>762</v>
      </c>
      <c r="C11" s="9" t="s">
        <v>751</v>
      </c>
      <c r="D11" s="9" t="s">
        <v>754</v>
      </c>
      <c r="E11" s="9" t="s">
        <v>718</v>
      </c>
      <c r="F11" s="10" t="s">
        <v>723</v>
      </c>
      <c r="G11" s="17">
        <v>116</v>
      </c>
      <c r="H11" s="17">
        <v>82.1</v>
      </c>
      <c r="I11" s="17">
        <v>108.4</v>
      </c>
      <c r="J11" s="17"/>
      <c r="K11" s="17"/>
      <c r="L11" s="17">
        <v>0.143</v>
      </c>
      <c r="M11" s="17">
        <v>0.033</v>
      </c>
      <c r="N11" s="19">
        <v>4793.245800000001</v>
      </c>
      <c r="O11" s="3"/>
      <c r="R11" s="223"/>
    </row>
    <row r="12" spans="1:18" ht="19.5" customHeight="1">
      <c r="A12" s="8">
        <v>9</v>
      </c>
      <c r="B12" s="269" t="s">
        <v>763</v>
      </c>
      <c r="C12" s="9" t="s">
        <v>751</v>
      </c>
      <c r="D12" s="9" t="s">
        <v>754</v>
      </c>
      <c r="E12" s="9" t="s">
        <v>718</v>
      </c>
      <c r="F12" s="10" t="s">
        <v>723</v>
      </c>
      <c r="G12" s="17">
        <v>169.07</v>
      </c>
      <c r="H12" s="17">
        <v>114.1</v>
      </c>
      <c r="I12" s="17">
        <v>146.6</v>
      </c>
      <c r="J12" s="17"/>
      <c r="K12" s="17"/>
      <c r="L12" s="17">
        <v>0.2379</v>
      </c>
      <c r="M12" s="17"/>
      <c r="N12" s="19">
        <v>7174.504</v>
      </c>
      <c r="O12" s="3"/>
      <c r="R12" s="223"/>
    </row>
    <row r="13" spans="1:18" ht="19.5" customHeight="1">
      <c r="A13" s="8">
        <v>10</v>
      </c>
      <c r="B13" s="269" t="s">
        <v>764</v>
      </c>
      <c r="C13" s="9" t="s">
        <v>751</v>
      </c>
      <c r="D13" s="9" t="s">
        <v>754</v>
      </c>
      <c r="E13" s="9" t="s">
        <v>718</v>
      </c>
      <c r="F13" s="10" t="s">
        <v>723</v>
      </c>
      <c r="G13" s="17">
        <v>136.89</v>
      </c>
      <c r="H13" s="17">
        <v>96.8</v>
      </c>
      <c r="I13" s="17">
        <v>128.7</v>
      </c>
      <c r="J13" s="17"/>
      <c r="K13" s="17"/>
      <c r="L13" s="17">
        <v>0.3423</v>
      </c>
      <c r="M13" s="17">
        <v>0.084</v>
      </c>
      <c r="N13" s="19">
        <v>5234.7358</v>
      </c>
      <c r="O13" s="3"/>
      <c r="R13" s="223"/>
    </row>
    <row r="14" spans="1:18" ht="19.5" customHeight="1">
      <c r="A14" s="8">
        <v>11</v>
      </c>
      <c r="B14" s="270" t="s">
        <v>765</v>
      </c>
      <c r="C14" s="9" t="s">
        <v>751</v>
      </c>
      <c r="D14" s="9" t="s">
        <v>754</v>
      </c>
      <c r="E14" s="9" t="s">
        <v>718</v>
      </c>
      <c r="F14" s="10" t="s">
        <v>723</v>
      </c>
      <c r="G14" s="17">
        <v>108.13</v>
      </c>
      <c r="H14" s="17">
        <v>77.8</v>
      </c>
      <c r="I14" s="17">
        <v>94.1</v>
      </c>
      <c r="J14" s="17"/>
      <c r="K14" s="17"/>
      <c r="L14" s="17">
        <v>0.1527</v>
      </c>
      <c r="M14" s="17"/>
      <c r="N14" s="19">
        <v>5056.73</v>
      </c>
      <c r="O14" s="3"/>
      <c r="R14" s="223"/>
    </row>
    <row r="15" spans="1:18" ht="13.5">
      <c r="A15" s="8">
        <v>12</v>
      </c>
      <c r="B15" s="269" t="s">
        <v>578</v>
      </c>
      <c r="C15" s="9" t="s">
        <v>751</v>
      </c>
      <c r="D15" s="9" t="s">
        <v>756</v>
      </c>
      <c r="E15" s="9" t="s">
        <v>718</v>
      </c>
      <c r="F15" s="10" t="s">
        <v>579</v>
      </c>
      <c r="G15" s="494">
        <v>1370</v>
      </c>
      <c r="H15" s="494">
        <v>1042</v>
      </c>
      <c r="I15" s="494">
        <v>1140</v>
      </c>
      <c r="J15" s="17">
        <v>2.04</v>
      </c>
      <c r="K15" s="17">
        <v>3.7</v>
      </c>
      <c r="L15" s="17"/>
      <c r="M15" s="17">
        <v>0.26</v>
      </c>
      <c r="N15" s="19">
        <v>5800</v>
      </c>
      <c r="O15" s="3"/>
      <c r="R15" s="223"/>
    </row>
    <row r="16" ht="13.5">
      <c r="L16" s="256"/>
    </row>
    <row r="17" ht="13.5">
      <c r="L17" s="256"/>
    </row>
    <row r="18" ht="13.5">
      <c r="L18" s="256"/>
    </row>
  </sheetData>
  <sheetProtection/>
  <mergeCells count="15">
    <mergeCell ref="O2:O3"/>
    <mergeCell ref="K2:K3"/>
    <mergeCell ref="L2:L3"/>
    <mergeCell ref="M2:M3"/>
    <mergeCell ref="E2:E3"/>
    <mergeCell ref="F2:F3"/>
    <mergeCell ref="G2:G3"/>
    <mergeCell ref="H2:H3"/>
    <mergeCell ref="A1:N1"/>
    <mergeCell ref="A2:A3"/>
    <mergeCell ref="B2:B3"/>
    <mergeCell ref="C2:C3"/>
    <mergeCell ref="D2:D3"/>
    <mergeCell ref="I2:I3"/>
    <mergeCell ref="J2:J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FF0000"/>
  </sheetPr>
  <dimension ref="A1:T38"/>
  <sheetViews>
    <sheetView showZeros="0" zoomScalePageLayoutView="0" workbookViewId="0" topLeftCell="A1">
      <selection activeCell="E20" sqref="E20"/>
    </sheetView>
  </sheetViews>
  <sheetFormatPr defaultColWidth="9.00390625" defaultRowHeight="13.5"/>
  <cols>
    <col min="1" max="1" width="5.625" style="156" customWidth="1"/>
    <col min="2" max="2" width="14.875" style="178" customWidth="1"/>
    <col min="3" max="3" width="9.00390625" style="179" customWidth="1"/>
    <col min="4" max="4" width="10.875" style="179" customWidth="1"/>
    <col min="5" max="6" width="9.00390625" style="179" customWidth="1"/>
    <col min="7" max="7" width="6.625" style="179" customWidth="1"/>
    <col min="8" max="9" width="9.00390625" style="179" customWidth="1"/>
    <col min="10" max="10" width="15.25390625" style="179" customWidth="1"/>
    <col min="11" max="12" width="8.875" style="179" customWidth="1"/>
    <col min="13" max="13" width="6.625" style="179" customWidth="1"/>
    <col min="14" max="14" width="7.125" style="179" customWidth="1"/>
    <col min="15" max="15" width="6.375" style="179" customWidth="1"/>
    <col min="16" max="16" width="7.50390625" style="179" customWidth="1"/>
    <col min="17" max="18" width="6.875" style="179" customWidth="1"/>
    <col min="19" max="19" width="10.375" style="180" customWidth="1"/>
    <col min="20" max="16384" width="9.00390625" style="156" customWidth="1"/>
  </cols>
  <sheetData>
    <row r="1" spans="1:20" ht="18.75">
      <c r="A1" s="882" t="s">
        <v>1226</v>
      </c>
      <c r="B1" s="882"/>
      <c r="C1" s="882"/>
      <c r="D1" s="882"/>
      <c r="E1" s="882"/>
      <c r="F1" s="882"/>
      <c r="G1" s="882"/>
      <c r="H1" s="882"/>
      <c r="I1" s="882"/>
      <c r="J1" s="882"/>
      <c r="K1" s="882"/>
      <c r="L1" s="882"/>
      <c r="M1" s="882"/>
      <c r="N1" s="882"/>
      <c r="O1" s="882"/>
      <c r="P1" s="882"/>
      <c r="Q1" s="882"/>
      <c r="R1" s="882"/>
      <c r="S1" s="882"/>
      <c r="T1" s="882"/>
    </row>
    <row r="2" spans="1:20" ht="13.5" customHeight="1">
      <c r="A2" s="881" t="s">
        <v>646</v>
      </c>
      <c r="B2" s="881" t="s">
        <v>1205</v>
      </c>
      <c r="C2" s="881"/>
      <c r="D2" s="881" t="s">
        <v>1206</v>
      </c>
      <c r="E2" s="881"/>
      <c r="F2" s="879" t="s">
        <v>1207</v>
      </c>
      <c r="G2" s="881" t="s">
        <v>1208</v>
      </c>
      <c r="H2" s="881"/>
      <c r="I2" s="881"/>
      <c r="J2" s="881"/>
      <c r="K2" s="879" t="s">
        <v>1215</v>
      </c>
      <c r="L2" s="879"/>
      <c r="M2" s="879"/>
      <c r="N2" s="880" t="s">
        <v>1219</v>
      </c>
      <c r="O2" s="881"/>
      <c r="P2" s="881"/>
      <c r="Q2" s="881" t="s">
        <v>1220</v>
      </c>
      <c r="R2" s="881"/>
      <c r="S2" s="883" t="s">
        <v>1228</v>
      </c>
      <c r="T2" s="879" t="s">
        <v>693</v>
      </c>
    </row>
    <row r="3" spans="1:20" ht="60">
      <c r="A3" s="881"/>
      <c r="B3" s="116" t="s">
        <v>1209</v>
      </c>
      <c r="C3" s="158" t="s">
        <v>1966</v>
      </c>
      <c r="D3" s="157" t="s">
        <v>1210</v>
      </c>
      <c r="E3" s="99" t="s">
        <v>1967</v>
      </c>
      <c r="F3" s="879"/>
      <c r="G3" s="99" t="s">
        <v>1211</v>
      </c>
      <c r="H3" s="157" t="s">
        <v>1212</v>
      </c>
      <c r="I3" s="157" t="s">
        <v>1213</v>
      </c>
      <c r="J3" s="157" t="s">
        <v>1214</v>
      </c>
      <c r="K3" s="99" t="s">
        <v>1216</v>
      </c>
      <c r="L3" s="99" t="s">
        <v>1217</v>
      </c>
      <c r="M3" s="99" t="s">
        <v>1218</v>
      </c>
      <c r="N3" s="157" t="s">
        <v>1221</v>
      </c>
      <c r="O3" s="157" t="s">
        <v>1222</v>
      </c>
      <c r="P3" s="157" t="s">
        <v>1223</v>
      </c>
      <c r="Q3" s="99" t="s">
        <v>1227</v>
      </c>
      <c r="R3" s="99" t="s">
        <v>1968</v>
      </c>
      <c r="S3" s="883"/>
      <c r="T3" s="879"/>
    </row>
    <row r="4" spans="1:20" ht="13.5">
      <c r="A4" s="157"/>
      <c r="B4" s="116" t="s">
        <v>1776</v>
      </c>
      <c r="C4" s="159">
        <f>SUM(C5:C38)</f>
        <v>1364.117909915395</v>
      </c>
      <c r="D4" s="159">
        <f aca="true" t="shared" si="0" ref="D4:S4">SUM(D5:D38)</f>
        <v>0</v>
      </c>
      <c r="E4" s="159">
        <f t="shared" si="0"/>
        <v>1364.117909915395</v>
      </c>
      <c r="F4" s="159">
        <f t="shared" si="0"/>
        <v>338.23</v>
      </c>
      <c r="G4" s="160">
        <f t="shared" si="0"/>
        <v>0</v>
      </c>
      <c r="H4" s="160">
        <f t="shared" si="0"/>
        <v>0</v>
      </c>
      <c r="I4" s="160">
        <f t="shared" si="0"/>
        <v>0</v>
      </c>
      <c r="J4" s="160">
        <f t="shared" si="0"/>
        <v>0</v>
      </c>
      <c r="K4" s="160">
        <f t="shared" si="0"/>
        <v>19230</v>
      </c>
      <c r="L4" s="160">
        <f t="shared" si="0"/>
        <v>24551.78</v>
      </c>
      <c r="M4" s="160">
        <f t="shared" si="0"/>
        <v>0</v>
      </c>
      <c r="N4" s="160">
        <f t="shared" si="0"/>
        <v>425.7326000000001</v>
      </c>
      <c r="O4" s="160">
        <f t="shared" si="0"/>
        <v>37.326</v>
      </c>
      <c r="P4" s="160">
        <f t="shared" si="0"/>
        <v>463.0586000000001</v>
      </c>
      <c r="Q4" s="160">
        <f t="shared" si="0"/>
        <v>259.92999999999995</v>
      </c>
      <c r="R4" s="160">
        <f t="shared" si="0"/>
        <v>43.22299680000001</v>
      </c>
      <c r="S4" s="160">
        <f t="shared" si="0"/>
        <v>22705.301000000003</v>
      </c>
      <c r="T4" s="99"/>
    </row>
    <row r="5" spans="1:20" ht="16.5" customHeight="1">
      <c r="A5" s="157">
        <v>1</v>
      </c>
      <c r="B5" s="135" t="s">
        <v>1186</v>
      </c>
      <c r="C5" s="161">
        <v>130.17422538468</v>
      </c>
      <c r="D5" s="127" t="s">
        <v>1224</v>
      </c>
      <c r="E5" s="161">
        <v>130.17422538468</v>
      </c>
      <c r="F5" s="161">
        <v>6.8</v>
      </c>
      <c r="G5" s="106" t="s">
        <v>1183</v>
      </c>
      <c r="H5" s="127" t="s">
        <v>1185</v>
      </c>
      <c r="I5" s="127" t="s">
        <v>1224</v>
      </c>
      <c r="J5" s="106" t="s">
        <v>1225</v>
      </c>
      <c r="K5" s="106"/>
      <c r="L5" s="106"/>
      <c r="M5" s="106"/>
      <c r="N5" s="162">
        <f>F5*2</f>
        <v>13.6</v>
      </c>
      <c r="O5" s="127"/>
      <c r="P5" s="127">
        <f aca="true" t="shared" si="1" ref="P5:P22">SUM(N5:O5)</f>
        <v>13.6</v>
      </c>
      <c r="Q5" s="162">
        <f>F5</f>
        <v>6.8</v>
      </c>
      <c r="R5" s="106"/>
      <c r="S5" s="163">
        <f>(P5*350+Q5*250)*1000/10000</f>
        <v>646</v>
      </c>
      <c r="T5" s="164"/>
    </row>
    <row r="6" spans="1:20" ht="16.5" customHeight="1">
      <c r="A6" s="157">
        <v>2</v>
      </c>
      <c r="B6" s="135" t="s">
        <v>1188</v>
      </c>
      <c r="C6" s="161">
        <v>48.788662021374</v>
      </c>
      <c r="D6" s="127" t="s">
        <v>1637</v>
      </c>
      <c r="E6" s="161">
        <v>48.788662021374</v>
      </c>
      <c r="F6" s="161">
        <v>5.2</v>
      </c>
      <c r="G6" s="106" t="s">
        <v>651</v>
      </c>
      <c r="H6" s="127" t="s">
        <v>1066</v>
      </c>
      <c r="I6" s="127" t="s">
        <v>1638</v>
      </c>
      <c r="J6" s="127" t="s">
        <v>1637</v>
      </c>
      <c r="K6" s="127">
        <v>1394</v>
      </c>
      <c r="L6" s="127">
        <v>1103</v>
      </c>
      <c r="M6" s="127"/>
      <c r="N6" s="162">
        <f aca="true" t="shared" si="2" ref="N6:N25">F6*2</f>
        <v>10.4</v>
      </c>
      <c r="O6" s="127"/>
      <c r="P6" s="127">
        <f t="shared" si="1"/>
        <v>10.4</v>
      </c>
      <c r="Q6" s="127">
        <v>5</v>
      </c>
      <c r="R6" s="127">
        <v>0.03</v>
      </c>
      <c r="S6" s="163">
        <f aca="true" t="shared" si="3" ref="S6:S27">(P6*350+Q6*250)*1000/10000</f>
        <v>489</v>
      </c>
      <c r="T6" s="106"/>
    </row>
    <row r="7" spans="1:20" ht="16.5" customHeight="1">
      <c r="A7" s="157">
        <v>3</v>
      </c>
      <c r="B7" s="135" t="s">
        <v>1189</v>
      </c>
      <c r="C7" s="161">
        <v>2.69464905364</v>
      </c>
      <c r="D7" s="127" t="s">
        <v>1639</v>
      </c>
      <c r="E7" s="161">
        <v>2.69464905364</v>
      </c>
      <c r="F7" s="161">
        <v>10.4</v>
      </c>
      <c r="G7" s="106" t="s">
        <v>651</v>
      </c>
      <c r="H7" s="127" t="s">
        <v>1066</v>
      </c>
      <c r="I7" s="127" t="s">
        <v>1640</v>
      </c>
      <c r="J7" s="106" t="s">
        <v>1641</v>
      </c>
      <c r="K7" s="106">
        <v>323</v>
      </c>
      <c r="L7" s="106">
        <f>SUM(K7*0.9)</f>
        <v>290.7</v>
      </c>
      <c r="M7" s="106"/>
      <c r="N7" s="162">
        <f t="shared" si="2"/>
        <v>20.8</v>
      </c>
      <c r="O7" s="106"/>
      <c r="P7" s="127">
        <f t="shared" si="1"/>
        <v>20.8</v>
      </c>
      <c r="Q7" s="106">
        <v>6</v>
      </c>
      <c r="R7" s="106">
        <v>0.035</v>
      </c>
      <c r="S7" s="163">
        <f t="shared" si="3"/>
        <v>878</v>
      </c>
      <c r="T7" s="106"/>
    </row>
    <row r="8" spans="1:20" ht="16.5" customHeight="1">
      <c r="A8" s="157">
        <v>4</v>
      </c>
      <c r="B8" s="135" t="s">
        <v>1190</v>
      </c>
      <c r="C8" s="161">
        <v>6.157993472317</v>
      </c>
      <c r="D8" s="127" t="s">
        <v>1969</v>
      </c>
      <c r="E8" s="161">
        <v>6.157993472317</v>
      </c>
      <c r="F8" s="161">
        <v>5.3</v>
      </c>
      <c r="G8" s="106" t="s">
        <v>1970</v>
      </c>
      <c r="H8" s="127" t="s">
        <v>1969</v>
      </c>
      <c r="I8" s="127" t="s">
        <v>1969</v>
      </c>
      <c r="J8" s="127" t="s">
        <v>1969</v>
      </c>
      <c r="K8" s="127"/>
      <c r="L8" s="127"/>
      <c r="M8" s="127"/>
      <c r="N8" s="162">
        <f t="shared" si="2"/>
        <v>10.6</v>
      </c>
      <c r="O8" s="127"/>
      <c r="P8" s="127">
        <f t="shared" si="1"/>
        <v>10.6</v>
      </c>
      <c r="Q8" s="127">
        <v>5</v>
      </c>
      <c r="R8" s="127"/>
      <c r="S8" s="163">
        <f t="shared" si="3"/>
        <v>496</v>
      </c>
      <c r="T8" s="106"/>
    </row>
    <row r="9" spans="1:20" ht="16.5" customHeight="1">
      <c r="A9" s="157">
        <v>5</v>
      </c>
      <c r="B9" s="135" t="s">
        <v>1191</v>
      </c>
      <c r="C9" s="161">
        <v>9.118561512357001</v>
      </c>
      <c r="D9" s="127" t="s">
        <v>1642</v>
      </c>
      <c r="E9" s="161">
        <v>9.118561512357001</v>
      </c>
      <c r="F9" s="161">
        <v>6.5</v>
      </c>
      <c r="G9" s="106" t="s">
        <v>651</v>
      </c>
      <c r="H9" s="127" t="s">
        <v>1066</v>
      </c>
      <c r="I9" s="127" t="s">
        <v>1642</v>
      </c>
      <c r="J9" s="127" t="s">
        <v>1643</v>
      </c>
      <c r="K9" s="127">
        <v>216</v>
      </c>
      <c r="L9" s="106">
        <f>SUM(K9*0.9)</f>
        <v>194.4</v>
      </c>
      <c r="M9" s="127"/>
      <c r="N9" s="162">
        <f t="shared" si="2"/>
        <v>13</v>
      </c>
      <c r="O9" s="127"/>
      <c r="P9" s="127">
        <f t="shared" si="1"/>
        <v>13</v>
      </c>
      <c r="Q9" s="127">
        <v>7.5</v>
      </c>
      <c r="R9" s="127">
        <v>0.04</v>
      </c>
      <c r="S9" s="163">
        <f t="shared" si="3"/>
        <v>642.5</v>
      </c>
      <c r="T9" s="106"/>
    </row>
    <row r="10" spans="1:20" ht="16.5" customHeight="1">
      <c r="A10" s="157">
        <v>6</v>
      </c>
      <c r="B10" s="135" t="s">
        <v>1192</v>
      </c>
      <c r="C10" s="161">
        <v>11.615776272508999</v>
      </c>
      <c r="D10" s="127" t="s">
        <v>1971</v>
      </c>
      <c r="E10" s="161">
        <v>11.615776272508999</v>
      </c>
      <c r="F10" s="161">
        <v>3.6</v>
      </c>
      <c r="G10" s="106" t="s">
        <v>1972</v>
      </c>
      <c r="H10" s="127" t="s">
        <v>1973</v>
      </c>
      <c r="I10" s="127" t="s">
        <v>1971</v>
      </c>
      <c r="J10" s="106" t="s">
        <v>1974</v>
      </c>
      <c r="K10" s="106"/>
      <c r="L10" s="106"/>
      <c r="M10" s="106"/>
      <c r="N10" s="162">
        <f t="shared" si="2"/>
        <v>7.2</v>
      </c>
      <c r="O10" s="127"/>
      <c r="P10" s="127">
        <f t="shared" si="1"/>
        <v>7.2</v>
      </c>
      <c r="Q10" s="127">
        <v>5</v>
      </c>
      <c r="R10" s="106"/>
      <c r="S10" s="163">
        <f t="shared" si="3"/>
        <v>377</v>
      </c>
      <c r="T10" s="106"/>
    </row>
    <row r="11" spans="1:20" ht="16.5" customHeight="1">
      <c r="A11" s="157">
        <v>7</v>
      </c>
      <c r="B11" s="165" t="s">
        <v>1193</v>
      </c>
      <c r="C11" s="166">
        <v>129.858163111856</v>
      </c>
      <c r="D11" s="150" t="s">
        <v>1193</v>
      </c>
      <c r="E11" s="166">
        <v>129.858163111856</v>
      </c>
      <c r="F11" s="166">
        <v>5.9</v>
      </c>
      <c r="G11" s="119" t="s">
        <v>1975</v>
      </c>
      <c r="H11" s="150" t="s">
        <v>1976</v>
      </c>
      <c r="I11" s="150" t="s">
        <v>1977</v>
      </c>
      <c r="J11" s="150" t="s">
        <v>1193</v>
      </c>
      <c r="K11" s="150">
        <v>120</v>
      </c>
      <c r="L11" s="167">
        <f>K11*1.05</f>
        <v>126</v>
      </c>
      <c r="M11" s="150"/>
      <c r="N11" s="162">
        <f t="shared" si="2"/>
        <v>11.8</v>
      </c>
      <c r="O11" s="127"/>
      <c r="P11" s="127">
        <f t="shared" si="1"/>
        <v>11.8</v>
      </c>
      <c r="Q11" s="127">
        <v>5</v>
      </c>
      <c r="R11" s="150"/>
      <c r="S11" s="163">
        <f t="shared" si="3"/>
        <v>538</v>
      </c>
      <c r="T11" s="119"/>
    </row>
    <row r="12" spans="1:20" ht="16.5" customHeight="1">
      <c r="A12" s="157">
        <v>8</v>
      </c>
      <c r="B12" s="135" t="s">
        <v>1194</v>
      </c>
      <c r="C12" s="161">
        <v>33.22949530974</v>
      </c>
      <c r="D12" s="127" t="s">
        <v>1194</v>
      </c>
      <c r="E12" s="161">
        <v>33.22949530974</v>
      </c>
      <c r="F12" s="161">
        <v>8.9</v>
      </c>
      <c r="G12" s="106" t="s">
        <v>651</v>
      </c>
      <c r="H12" s="127" t="s">
        <v>1066</v>
      </c>
      <c r="I12" s="127" t="s">
        <v>1644</v>
      </c>
      <c r="J12" s="127" t="s">
        <v>1194</v>
      </c>
      <c r="K12" s="127">
        <v>233</v>
      </c>
      <c r="L12" s="106">
        <f>SUM(K12*0.9)</f>
        <v>209.70000000000002</v>
      </c>
      <c r="M12" s="127"/>
      <c r="N12" s="162">
        <f t="shared" si="2"/>
        <v>17.8</v>
      </c>
      <c r="O12" s="127"/>
      <c r="P12" s="127">
        <f t="shared" si="1"/>
        <v>17.8</v>
      </c>
      <c r="Q12" s="127">
        <v>5</v>
      </c>
      <c r="R12" s="127">
        <v>0.03</v>
      </c>
      <c r="S12" s="163">
        <f t="shared" si="3"/>
        <v>748</v>
      </c>
      <c r="T12" s="106"/>
    </row>
    <row r="13" spans="1:20" ht="16.5" customHeight="1">
      <c r="A13" s="157">
        <v>9</v>
      </c>
      <c r="B13" s="135" t="s">
        <v>1195</v>
      </c>
      <c r="C13" s="161">
        <v>79.338087547195</v>
      </c>
      <c r="D13" s="127" t="s">
        <v>1195</v>
      </c>
      <c r="E13" s="161">
        <v>79.338087547195</v>
      </c>
      <c r="F13" s="161">
        <v>15.4</v>
      </c>
      <c r="G13" s="106" t="s">
        <v>1972</v>
      </c>
      <c r="H13" s="127" t="s">
        <v>1978</v>
      </c>
      <c r="I13" s="127" t="s">
        <v>1195</v>
      </c>
      <c r="J13" s="106" t="s">
        <v>1979</v>
      </c>
      <c r="K13" s="106"/>
      <c r="L13" s="106"/>
      <c r="M13" s="106"/>
      <c r="N13" s="162">
        <f t="shared" si="2"/>
        <v>30.8</v>
      </c>
      <c r="O13" s="127"/>
      <c r="P13" s="127">
        <f t="shared" si="1"/>
        <v>30.8</v>
      </c>
      <c r="Q13" s="127">
        <v>5</v>
      </c>
      <c r="R13" s="106"/>
      <c r="S13" s="163">
        <f t="shared" si="3"/>
        <v>1203</v>
      </c>
      <c r="T13" s="106"/>
    </row>
    <row r="14" spans="1:20" ht="16.5" customHeight="1">
      <c r="A14" s="157">
        <v>10</v>
      </c>
      <c r="B14" s="135" t="s">
        <v>1196</v>
      </c>
      <c r="C14" s="161">
        <v>129.077515057012</v>
      </c>
      <c r="D14" s="127" t="s">
        <v>1196</v>
      </c>
      <c r="E14" s="161">
        <v>129.077515057012</v>
      </c>
      <c r="F14" s="161">
        <v>16.2</v>
      </c>
      <c r="G14" s="106" t="s">
        <v>1980</v>
      </c>
      <c r="H14" s="127" t="s">
        <v>1981</v>
      </c>
      <c r="I14" s="127" t="s">
        <v>1196</v>
      </c>
      <c r="J14" s="106" t="s">
        <v>1982</v>
      </c>
      <c r="K14" s="106"/>
      <c r="L14" s="106"/>
      <c r="M14" s="106"/>
      <c r="N14" s="162">
        <f t="shared" si="2"/>
        <v>32.4</v>
      </c>
      <c r="O14" s="127"/>
      <c r="P14" s="127">
        <f t="shared" si="1"/>
        <v>32.4</v>
      </c>
      <c r="Q14" s="127">
        <v>5</v>
      </c>
      <c r="R14" s="106"/>
      <c r="S14" s="163">
        <f t="shared" si="3"/>
        <v>1259</v>
      </c>
      <c r="T14" s="106"/>
    </row>
    <row r="15" spans="1:20" ht="16.5" customHeight="1">
      <c r="A15" s="157">
        <v>11</v>
      </c>
      <c r="B15" s="165" t="str">
        <f>J15</f>
        <v>上下八道河</v>
      </c>
      <c r="C15" s="166">
        <v>93.824818037962</v>
      </c>
      <c r="D15" s="150" t="s">
        <v>1983</v>
      </c>
      <c r="E15" s="166">
        <v>93.824818037962</v>
      </c>
      <c r="F15" s="166">
        <v>11.2</v>
      </c>
      <c r="G15" s="119" t="s">
        <v>1984</v>
      </c>
      <c r="H15" s="150" t="s">
        <v>1985</v>
      </c>
      <c r="I15" s="168" t="s">
        <v>1986</v>
      </c>
      <c r="J15" s="169" t="s">
        <v>1987</v>
      </c>
      <c r="K15" s="169">
        <v>454</v>
      </c>
      <c r="L15" s="170">
        <f>K15*1.05</f>
        <v>476.70000000000005</v>
      </c>
      <c r="M15" s="169"/>
      <c r="N15" s="171">
        <f t="shared" si="2"/>
        <v>22.4</v>
      </c>
      <c r="O15" s="128"/>
      <c r="P15" s="128">
        <f t="shared" si="1"/>
        <v>22.4</v>
      </c>
      <c r="Q15" s="128">
        <v>5</v>
      </c>
      <c r="R15" s="169"/>
      <c r="S15" s="163">
        <f t="shared" si="3"/>
        <v>909</v>
      </c>
      <c r="T15" s="119"/>
    </row>
    <row r="16" spans="1:20" ht="16.5" customHeight="1">
      <c r="A16" s="157">
        <v>12</v>
      </c>
      <c r="B16" s="135" t="s">
        <v>1988</v>
      </c>
      <c r="C16" s="161">
        <v>115.53782850508</v>
      </c>
      <c r="D16" s="127" t="s">
        <v>1988</v>
      </c>
      <c r="E16" s="161">
        <v>115.53782850508</v>
      </c>
      <c r="F16" s="161">
        <v>6.4</v>
      </c>
      <c r="G16" s="106" t="s">
        <v>1980</v>
      </c>
      <c r="H16" s="127" t="s">
        <v>1989</v>
      </c>
      <c r="I16" s="127" t="s">
        <v>1990</v>
      </c>
      <c r="J16" s="127" t="s">
        <v>1990</v>
      </c>
      <c r="K16" s="128"/>
      <c r="L16" s="128"/>
      <c r="M16" s="128"/>
      <c r="N16" s="171">
        <f t="shared" si="2"/>
        <v>12.8</v>
      </c>
      <c r="O16" s="128"/>
      <c r="P16" s="128">
        <f t="shared" si="1"/>
        <v>12.8</v>
      </c>
      <c r="Q16" s="128">
        <v>5</v>
      </c>
      <c r="R16" s="128"/>
      <c r="S16" s="163">
        <f t="shared" si="3"/>
        <v>573</v>
      </c>
      <c r="T16" s="106"/>
    </row>
    <row r="17" spans="1:20" ht="16.5" customHeight="1">
      <c r="A17" s="157">
        <v>13</v>
      </c>
      <c r="B17" s="135" t="s">
        <v>1198</v>
      </c>
      <c r="C17" s="161">
        <v>86.71030347074101</v>
      </c>
      <c r="D17" s="127" t="s">
        <v>1198</v>
      </c>
      <c r="E17" s="161">
        <v>86.71030347074101</v>
      </c>
      <c r="F17" s="161">
        <v>6.8</v>
      </c>
      <c r="G17" s="106" t="s">
        <v>1980</v>
      </c>
      <c r="H17" s="127" t="s">
        <v>1991</v>
      </c>
      <c r="I17" s="128" t="s">
        <v>1992</v>
      </c>
      <c r="J17" s="127" t="s">
        <v>1993</v>
      </c>
      <c r="K17" s="128"/>
      <c r="L17" s="128"/>
      <c r="M17" s="128"/>
      <c r="N17" s="171">
        <f t="shared" si="2"/>
        <v>13.6</v>
      </c>
      <c r="O17" s="128"/>
      <c r="P17" s="128">
        <f t="shared" si="1"/>
        <v>13.6</v>
      </c>
      <c r="Q17" s="128">
        <v>5</v>
      </c>
      <c r="R17" s="128"/>
      <c r="S17" s="163">
        <f t="shared" si="3"/>
        <v>601</v>
      </c>
      <c r="T17" s="106"/>
    </row>
    <row r="18" spans="1:20" ht="16.5" customHeight="1">
      <c r="A18" s="157">
        <v>14</v>
      </c>
      <c r="B18" s="135" t="s">
        <v>1199</v>
      </c>
      <c r="C18" s="161">
        <v>59.094844174569005</v>
      </c>
      <c r="D18" s="127" t="s">
        <v>1199</v>
      </c>
      <c r="E18" s="161">
        <v>59.094844174569005</v>
      </c>
      <c r="F18" s="161">
        <v>8.1</v>
      </c>
      <c r="G18" s="106" t="s">
        <v>651</v>
      </c>
      <c r="H18" s="127" t="s">
        <v>1066</v>
      </c>
      <c r="I18" s="128" t="s">
        <v>1645</v>
      </c>
      <c r="J18" s="127" t="s">
        <v>1199</v>
      </c>
      <c r="K18" s="128">
        <v>260</v>
      </c>
      <c r="L18" s="126">
        <f>SUM(K18*0.9)</f>
        <v>234</v>
      </c>
      <c r="M18" s="128"/>
      <c r="N18" s="171">
        <f t="shared" si="2"/>
        <v>16.2</v>
      </c>
      <c r="O18" s="128"/>
      <c r="P18" s="128">
        <f t="shared" si="1"/>
        <v>16.2</v>
      </c>
      <c r="Q18" s="128">
        <v>5</v>
      </c>
      <c r="R18" s="128">
        <v>0.03</v>
      </c>
      <c r="S18" s="163">
        <f t="shared" si="3"/>
        <v>692</v>
      </c>
      <c r="T18" s="106"/>
    </row>
    <row r="19" spans="1:20" ht="16.5" customHeight="1">
      <c r="A19" s="157">
        <v>15</v>
      </c>
      <c r="B19" s="165" t="s">
        <v>1994</v>
      </c>
      <c r="C19" s="166">
        <v>78.252503021488</v>
      </c>
      <c r="D19" s="150" t="s">
        <v>1200</v>
      </c>
      <c r="E19" s="166">
        <v>78.252503021488</v>
      </c>
      <c r="F19" s="166">
        <v>9.6</v>
      </c>
      <c r="G19" s="119" t="s">
        <v>1995</v>
      </c>
      <c r="H19" s="150" t="s">
        <v>1996</v>
      </c>
      <c r="I19" s="168" t="s">
        <v>1997</v>
      </c>
      <c r="J19" s="150" t="s">
        <v>1994</v>
      </c>
      <c r="K19" s="168">
        <v>88</v>
      </c>
      <c r="L19" s="170">
        <f>K19*1.05</f>
        <v>92.4</v>
      </c>
      <c r="M19" s="168"/>
      <c r="N19" s="171">
        <f t="shared" si="2"/>
        <v>19.2</v>
      </c>
      <c r="O19" s="128"/>
      <c r="P19" s="128">
        <f t="shared" si="1"/>
        <v>19.2</v>
      </c>
      <c r="Q19" s="128">
        <v>5</v>
      </c>
      <c r="R19" s="168"/>
      <c r="S19" s="163">
        <f t="shared" si="3"/>
        <v>797</v>
      </c>
      <c r="T19" s="119"/>
    </row>
    <row r="20" spans="1:20" ht="16.5" customHeight="1">
      <c r="A20" s="157">
        <v>16</v>
      </c>
      <c r="B20" s="135" t="s">
        <v>1201</v>
      </c>
      <c r="C20" s="161">
        <v>29.321799937671</v>
      </c>
      <c r="D20" s="127" t="s">
        <v>1998</v>
      </c>
      <c r="E20" s="161">
        <v>29.321799937671</v>
      </c>
      <c r="F20" s="161">
        <v>11</v>
      </c>
      <c r="G20" s="106" t="s">
        <v>1999</v>
      </c>
      <c r="H20" s="127" t="s">
        <v>2000</v>
      </c>
      <c r="I20" s="127" t="s">
        <v>2001</v>
      </c>
      <c r="J20" s="128" t="s">
        <v>2002</v>
      </c>
      <c r="K20" s="128"/>
      <c r="L20" s="128"/>
      <c r="M20" s="128"/>
      <c r="N20" s="171">
        <f t="shared" si="2"/>
        <v>22</v>
      </c>
      <c r="O20" s="128"/>
      <c r="P20" s="128">
        <f t="shared" si="1"/>
        <v>22</v>
      </c>
      <c r="Q20" s="128">
        <v>5</v>
      </c>
      <c r="R20" s="128"/>
      <c r="S20" s="163">
        <f t="shared" si="3"/>
        <v>895</v>
      </c>
      <c r="T20" s="106"/>
    </row>
    <row r="21" spans="1:20" ht="16.5" customHeight="1">
      <c r="A21" s="157">
        <v>17</v>
      </c>
      <c r="B21" s="165" t="s">
        <v>1202</v>
      </c>
      <c r="C21" s="166">
        <v>53.155541285616</v>
      </c>
      <c r="D21" s="150" t="s">
        <v>1202</v>
      </c>
      <c r="E21" s="166">
        <v>53.155541285616</v>
      </c>
      <c r="F21" s="166">
        <v>12</v>
      </c>
      <c r="G21" s="119" t="s">
        <v>1995</v>
      </c>
      <c r="H21" s="168" t="s">
        <v>1996</v>
      </c>
      <c r="I21" s="168" t="s">
        <v>2003</v>
      </c>
      <c r="J21" s="150" t="s">
        <v>1202</v>
      </c>
      <c r="K21" s="168">
        <v>234</v>
      </c>
      <c r="L21" s="170">
        <f>K21*1.05</f>
        <v>245.70000000000002</v>
      </c>
      <c r="M21" s="168"/>
      <c r="N21" s="171">
        <f t="shared" si="2"/>
        <v>24</v>
      </c>
      <c r="O21" s="128"/>
      <c r="P21" s="128">
        <f t="shared" si="1"/>
        <v>24</v>
      </c>
      <c r="Q21" s="128">
        <v>5</v>
      </c>
      <c r="R21" s="168"/>
      <c r="S21" s="163">
        <f t="shared" si="3"/>
        <v>965</v>
      </c>
      <c r="T21" s="119"/>
    </row>
    <row r="22" spans="1:20" ht="16.5" customHeight="1">
      <c r="A22" s="157">
        <v>18</v>
      </c>
      <c r="B22" s="165" t="s">
        <v>1203</v>
      </c>
      <c r="C22" s="166">
        <v>129.193992930468</v>
      </c>
      <c r="D22" s="150" t="s">
        <v>1203</v>
      </c>
      <c r="E22" s="166">
        <v>129.193992930468</v>
      </c>
      <c r="F22" s="166">
        <v>31</v>
      </c>
      <c r="G22" s="119" t="s">
        <v>1995</v>
      </c>
      <c r="H22" s="150" t="s">
        <v>1996</v>
      </c>
      <c r="I22" s="150" t="s">
        <v>1203</v>
      </c>
      <c r="J22" s="150" t="s">
        <v>1203</v>
      </c>
      <c r="K22" s="168">
        <v>227</v>
      </c>
      <c r="L22" s="170">
        <f>K22*1.05</f>
        <v>238.35000000000002</v>
      </c>
      <c r="M22" s="168"/>
      <c r="N22" s="171">
        <f t="shared" si="2"/>
        <v>62</v>
      </c>
      <c r="O22" s="128"/>
      <c r="P22" s="128">
        <f t="shared" si="1"/>
        <v>62</v>
      </c>
      <c r="Q22" s="128">
        <v>5</v>
      </c>
      <c r="R22" s="168"/>
      <c r="S22" s="163">
        <f t="shared" si="3"/>
        <v>2295</v>
      </c>
      <c r="T22" s="119"/>
    </row>
    <row r="23" spans="1:20" ht="16.5" customHeight="1">
      <c r="A23" s="157">
        <v>19</v>
      </c>
      <c r="B23" s="135" t="s">
        <v>1204</v>
      </c>
      <c r="C23" s="161">
        <v>89.96397819912</v>
      </c>
      <c r="D23" s="127" t="s">
        <v>1204</v>
      </c>
      <c r="E23" s="161">
        <v>89.96397819912</v>
      </c>
      <c r="F23" s="161">
        <v>22</v>
      </c>
      <c r="G23" s="106" t="s">
        <v>2004</v>
      </c>
      <c r="H23" s="127" t="s">
        <v>2005</v>
      </c>
      <c r="I23" s="128" t="s">
        <v>2006</v>
      </c>
      <c r="J23" s="127" t="s">
        <v>1204</v>
      </c>
      <c r="K23" s="119">
        <v>3018</v>
      </c>
      <c r="L23" s="119">
        <v>3486</v>
      </c>
      <c r="M23" s="119" t="s">
        <v>2007</v>
      </c>
      <c r="N23" s="171">
        <f t="shared" si="2"/>
        <v>44</v>
      </c>
      <c r="O23" s="119">
        <v>12</v>
      </c>
      <c r="P23" s="119">
        <f>SUM(N23:O23)</f>
        <v>56</v>
      </c>
      <c r="Q23" s="119">
        <v>28</v>
      </c>
      <c r="R23" s="119">
        <v>16.8</v>
      </c>
      <c r="S23" s="163">
        <f t="shared" si="3"/>
        <v>2660</v>
      </c>
      <c r="T23" s="99"/>
    </row>
    <row r="24" spans="1:20" ht="13.5">
      <c r="A24" s="157">
        <v>20</v>
      </c>
      <c r="B24" s="135" t="s">
        <v>2008</v>
      </c>
      <c r="C24" s="161">
        <v>11.9</v>
      </c>
      <c r="D24" s="127" t="s">
        <v>2008</v>
      </c>
      <c r="E24" s="161">
        <v>11.9</v>
      </c>
      <c r="F24" s="161">
        <v>5.8</v>
      </c>
      <c r="G24" s="106" t="s">
        <v>2009</v>
      </c>
      <c r="H24" s="127" t="s">
        <v>2010</v>
      </c>
      <c r="I24" s="128" t="s">
        <v>2011</v>
      </c>
      <c r="J24" s="128" t="s">
        <v>2012</v>
      </c>
      <c r="K24" s="128"/>
      <c r="L24" s="128"/>
      <c r="M24" s="128"/>
      <c r="N24" s="171">
        <f t="shared" si="2"/>
        <v>11.6</v>
      </c>
      <c r="O24" s="128"/>
      <c r="P24" s="128">
        <f>SUM(N24:O24)</f>
        <v>11.6</v>
      </c>
      <c r="Q24" s="128">
        <v>5</v>
      </c>
      <c r="R24" s="128"/>
      <c r="S24" s="163">
        <f t="shared" si="3"/>
        <v>531</v>
      </c>
      <c r="T24" s="106"/>
    </row>
    <row r="25" spans="1:20" ht="13.5">
      <c r="A25" s="157">
        <v>21</v>
      </c>
      <c r="B25" s="135" t="s">
        <v>2013</v>
      </c>
      <c r="C25" s="161">
        <v>25.2</v>
      </c>
      <c r="D25" s="127" t="s">
        <v>2013</v>
      </c>
      <c r="E25" s="161">
        <v>25.2</v>
      </c>
      <c r="F25" s="161">
        <v>3.5</v>
      </c>
      <c r="G25" s="106" t="s">
        <v>2009</v>
      </c>
      <c r="H25" s="127" t="s">
        <v>2010</v>
      </c>
      <c r="I25" s="128" t="s">
        <v>2014</v>
      </c>
      <c r="J25" s="128" t="s">
        <v>2014</v>
      </c>
      <c r="K25" s="128"/>
      <c r="L25" s="128"/>
      <c r="M25" s="128"/>
      <c r="N25" s="171">
        <f t="shared" si="2"/>
        <v>7</v>
      </c>
      <c r="O25" s="128"/>
      <c r="P25" s="128">
        <f>SUM(N25:O25)</f>
        <v>7</v>
      </c>
      <c r="Q25" s="128">
        <v>5</v>
      </c>
      <c r="R25" s="128"/>
      <c r="S25" s="163">
        <f t="shared" si="3"/>
        <v>370</v>
      </c>
      <c r="T25" s="106"/>
    </row>
    <row r="26" spans="1:20" ht="24">
      <c r="A26" s="157">
        <v>22</v>
      </c>
      <c r="B26" s="172" t="s">
        <v>2015</v>
      </c>
      <c r="C26" s="173">
        <f>E26</f>
        <v>0.7241619</v>
      </c>
      <c r="D26" s="174" t="s">
        <v>2016</v>
      </c>
      <c r="E26" s="173">
        <f>L26*667/1000000</f>
        <v>0.7241619</v>
      </c>
      <c r="F26" s="173">
        <f aca="true" t="shared" si="4" ref="F26:F38">K26*0.01</f>
        <v>7.7</v>
      </c>
      <c r="G26" s="174" t="s">
        <v>2009</v>
      </c>
      <c r="H26" s="174" t="s">
        <v>2017</v>
      </c>
      <c r="I26" s="174" t="s">
        <v>2018</v>
      </c>
      <c r="J26" s="174" t="s">
        <v>2019</v>
      </c>
      <c r="K26" s="174">
        <v>770</v>
      </c>
      <c r="L26" s="175">
        <f>K26*1.41</f>
        <v>1085.7</v>
      </c>
      <c r="M26" s="174" t="s">
        <v>2020</v>
      </c>
      <c r="N26" s="176">
        <f>O26*0.1</f>
        <v>0.15400000000000003</v>
      </c>
      <c r="O26" s="176">
        <f>F26*0.2</f>
        <v>1.54</v>
      </c>
      <c r="P26" s="176">
        <f>SUM(N26:O26)</f>
        <v>1.694</v>
      </c>
      <c r="Q26" s="176">
        <f>F26</f>
        <v>7.7</v>
      </c>
      <c r="R26" s="163">
        <f>Q26*0.12*24*3600*0.2/10000</f>
        <v>1.5966719999999999</v>
      </c>
      <c r="S26" s="163">
        <f t="shared" si="3"/>
        <v>251.79</v>
      </c>
      <c r="T26" s="177"/>
    </row>
    <row r="27" spans="1:20" ht="36">
      <c r="A27" s="157">
        <v>23</v>
      </c>
      <c r="B27" s="172" t="s">
        <v>2015</v>
      </c>
      <c r="C27" s="173">
        <f aca="true" t="shared" si="5" ref="C27:C38">E27</f>
        <v>0.63293631</v>
      </c>
      <c r="D27" s="174" t="s">
        <v>2021</v>
      </c>
      <c r="E27" s="173">
        <f aca="true" t="shared" si="6" ref="E27:E38">L27*667/1000000</f>
        <v>0.63293631</v>
      </c>
      <c r="F27" s="173">
        <f t="shared" si="4"/>
        <v>6.73</v>
      </c>
      <c r="G27" s="174" t="s">
        <v>2009</v>
      </c>
      <c r="H27" s="174" t="s">
        <v>2017</v>
      </c>
      <c r="I27" s="174" t="s">
        <v>2022</v>
      </c>
      <c r="J27" s="174" t="s">
        <v>2023</v>
      </c>
      <c r="K27" s="174">
        <v>673</v>
      </c>
      <c r="L27" s="175">
        <f aca="true" t="shared" si="7" ref="L27:L38">K27*1.41</f>
        <v>948.93</v>
      </c>
      <c r="M27" s="174" t="s">
        <v>2023</v>
      </c>
      <c r="N27" s="176">
        <f aca="true" t="shared" si="8" ref="N27:N38">O27*0.1</f>
        <v>0.13460000000000003</v>
      </c>
      <c r="O27" s="176">
        <f aca="true" t="shared" si="9" ref="O27:O38">F27*0.2</f>
        <v>1.346</v>
      </c>
      <c r="P27" s="176">
        <f aca="true" t="shared" si="10" ref="P27:P38">SUM(N27:O27)</f>
        <v>1.4806000000000001</v>
      </c>
      <c r="Q27" s="176">
        <f aca="true" t="shared" si="11" ref="Q27:Q38">F27</f>
        <v>6.73</v>
      </c>
      <c r="R27" s="163">
        <f aca="true" t="shared" si="12" ref="R27:R38">Q27*0.12*24*3600*0.2/10000</f>
        <v>1.3955328000000002</v>
      </c>
      <c r="S27" s="163">
        <f t="shared" si="3"/>
        <v>220.071</v>
      </c>
      <c r="T27" s="177"/>
    </row>
    <row r="28" spans="1:20" ht="24">
      <c r="A28" s="157">
        <v>24</v>
      </c>
      <c r="B28" s="172" t="s">
        <v>2015</v>
      </c>
      <c r="C28" s="173">
        <f>E28</f>
        <v>0.3291645</v>
      </c>
      <c r="D28" s="174" t="s">
        <v>2024</v>
      </c>
      <c r="E28" s="173">
        <f>L28*667/1000000</f>
        <v>0.3291645</v>
      </c>
      <c r="F28" s="173">
        <f>K28*0.01</f>
        <v>3.5</v>
      </c>
      <c r="G28" s="174" t="s">
        <v>2009</v>
      </c>
      <c r="H28" s="174" t="s">
        <v>2017</v>
      </c>
      <c r="I28" s="174" t="s">
        <v>2022</v>
      </c>
      <c r="J28" s="174" t="s">
        <v>2025</v>
      </c>
      <c r="K28" s="174">
        <v>350</v>
      </c>
      <c r="L28" s="175">
        <f t="shared" si="7"/>
        <v>493.5</v>
      </c>
      <c r="M28" s="174" t="s">
        <v>2026</v>
      </c>
      <c r="N28" s="176">
        <f>O28*0.1</f>
        <v>0.07</v>
      </c>
      <c r="O28" s="176">
        <f>F28*0.2</f>
        <v>0.7000000000000001</v>
      </c>
      <c r="P28" s="176">
        <f>SUM(N28:O28)</f>
        <v>0.77</v>
      </c>
      <c r="Q28" s="176">
        <f>F28</f>
        <v>3.5</v>
      </c>
      <c r="R28" s="163">
        <f t="shared" si="12"/>
        <v>0.7257600000000001</v>
      </c>
      <c r="S28" s="163">
        <f>(P28*350+Q28*250)*1000/10000</f>
        <v>114.45</v>
      </c>
      <c r="T28" s="177"/>
    </row>
    <row r="29" spans="1:20" ht="13.5">
      <c r="A29" s="157">
        <v>25</v>
      </c>
      <c r="B29" s="172" t="s">
        <v>2015</v>
      </c>
      <c r="C29" s="173">
        <f t="shared" si="5"/>
        <v>1.24988463</v>
      </c>
      <c r="D29" s="174" t="s">
        <v>2027</v>
      </c>
      <c r="E29" s="173">
        <f t="shared" si="6"/>
        <v>1.24988463</v>
      </c>
      <c r="F29" s="173">
        <f t="shared" si="4"/>
        <v>13.290000000000001</v>
      </c>
      <c r="G29" s="174" t="s">
        <v>2009</v>
      </c>
      <c r="H29" s="174" t="s">
        <v>2017</v>
      </c>
      <c r="I29" s="174" t="s">
        <v>2028</v>
      </c>
      <c r="J29" s="174" t="s">
        <v>2029</v>
      </c>
      <c r="K29" s="174">
        <v>1329</v>
      </c>
      <c r="L29" s="175">
        <f t="shared" si="7"/>
        <v>1873.8899999999999</v>
      </c>
      <c r="M29" s="174" t="s">
        <v>2028</v>
      </c>
      <c r="N29" s="176">
        <f t="shared" si="8"/>
        <v>0.26580000000000004</v>
      </c>
      <c r="O29" s="176">
        <f t="shared" si="9"/>
        <v>2.6580000000000004</v>
      </c>
      <c r="P29" s="176">
        <f t="shared" si="10"/>
        <v>2.9238000000000004</v>
      </c>
      <c r="Q29" s="176">
        <f t="shared" si="11"/>
        <v>13.290000000000001</v>
      </c>
      <c r="R29" s="163">
        <f t="shared" si="12"/>
        <v>2.7558144</v>
      </c>
      <c r="S29" s="163">
        <f aca="true" t="shared" si="13" ref="S29:S38">(P29*350+Q29*250)*1000/10000</f>
        <v>434.5830000000001</v>
      </c>
      <c r="T29" s="177"/>
    </row>
    <row r="30" spans="1:20" ht="13.5">
      <c r="A30" s="157">
        <v>26</v>
      </c>
      <c r="B30" s="172" t="s">
        <v>2030</v>
      </c>
      <c r="C30" s="173">
        <f>E30</f>
        <v>1.034517</v>
      </c>
      <c r="D30" s="174" t="s">
        <v>2031</v>
      </c>
      <c r="E30" s="173">
        <f>L30*667/1000000</f>
        <v>1.034517</v>
      </c>
      <c r="F30" s="173">
        <f>K30*0.01</f>
        <v>11</v>
      </c>
      <c r="G30" s="174" t="s">
        <v>2009</v>
      </c>
      <c r="H30" s="174" t="s">
        <v>2017</v>
      </c>
      <c r="I30" s="174" t="s">
        <v>2032</v>
      </c>
      <c r="J30" s="174" t="s">
        <v>2033</v>
      </c>
      <c r="K30" s="174">
        <v>1100</v>
      </c>
      <c r="L30" s="175">
        <f t="shared" si="7"/>
        <v>1551</v>
      </c>
      <c r="M30" s="174" t="s">
        <v>2032</v>
      </c>
      <c r="N30" s="176">
        <f>O30*0.1</f>
        <v>0.22000000000000003</v>
      </c>
      <c r="O30" s="176">
        <f>F30*0.2</f>
        <v>2.2</v>
      </c>
      <c r="P30" s="176">
        <f>SUM(N30:O30)</f>
        <v>2.4200000000000004</v>
      </c>
      <c r="Q30" s="176">
        <f>F30</f>
        <v>11</v>
      </c>
      <c r="R30" s="163">
        <f t="shared" si="12"/>
        <v>2.28096</v>
      </c>
      <c r="S30" s="163">
        <f>(P30*350+Q30*250)*1000/10000</f>
        <v>359.7</v>
      </c>
      <c r="T30" s="177"/>
    </row>
    <row r="31" spans="1:20" ht="13.5">
      <c r="A31" s="157">
        <v>27</v>
      </c>
      <c r="B31" s="172" t="s">
        <v>2015</v>
      </c>
      <c r="C31" s="173">
        <f t="shared" si="5"/>
        <v>2.351175</v>
      </c>
      <c r="D31" s="174" t="s">
        <v>2034</v>
      </c>
      <c r="E31" s="173">
        <f t="shared" si="6"/>
        <v>2.351175</v>
      </c>
      <c r="F31" s="173">
        <f t="shared" si="4"/>
        <v>25</v>
      </c>
      <c r="G31" s="174" t="s">
        <v>2009</v>
      </c>
      <c r="H31" s="174" t="s">
        <v>2017</v>
      </c>
      <c r="I31" s="174" t="s">
        <v>2035</v>
      </c>
      <c r="J31" s="174" t="s">
        <v>2036</v>
      </c>
      <c r="K31" s="174">
        <v>2500</v>
      </c>
      <c r="L31" s="175">
        <f t="shared" si="7"/>
        <v>3525</v>
      </c>
      <c r="M31" s="174" t="s">
        <v>2035</v>
      </c>
      <c r="N31" s="176">
        <f t="shared" si="8"/>
        <v>0.5</v>
      </c>
      <c r="O31" s="176">
        <f t="shared" si="9"/>
        <v>5</v>
      </c>
      <c r="P31" s="176">
        <f t="shared" si="10"/>
        <v>5.5</v>
      </c>
      <c r="Q31" s="176">
        <f t="shared" si="11"/>
        <v>25</v>
      </c>
      <c r="R31" s="163">
        <f t="shared" si="12"/>
        <v>5.184</v>
      </c>
      <c r="S31" s="163">
        <f t="shared" si="13"/>
        <v>817.5</v>
      </c>
      <c r="T31" s="177"/>
    </row>
    <row r="32" spans="1:20" ht="13.5">
      <c r="A32" s="157">
        <v>28</v>
      </c>
      <c r="B32" s="172" t="s">
        <v>2015</v>
      </c>
      <c r="C32" s="173">
        <f>E32</f>
        <v>0.55581777</v>
      </c>
      <c r="D32" s="174" t="s">
        <v>2037</v>
      </c>
      <c r="E32" s="173">
        <f>L32*667/1000000</f>
        <v>0.55581777</v>
      </c>
      <c r="F32" s="173">
        <f>K32*0.01</f>
        <v>5.91</v>
      </c>
      <c r="G32" s="174" t="s">
        <v>2009</v>
      </c>
      <c r="H32" s="174" t="s">
        <v>2017</v>
      </c>
      <c r="I32" s="174" t="s">
        <v>2035</v>
      </c>
      <c r="J32" s="174" t="s">
        <v>2038</v>
      </c>
      <c r="K32" s="174">
        <v>591</v>
      </c>
      <c r="L32" s="175">
        <f t="shared" si="7"/>
        <v>833.31</v>
      </c>
      <c r="M32" s="174" t="s">
        <v>2039</v>
      </c>
      <c r="N32" s="176">
        <f>O32*0.1</f>
        <v>0.11820000000000003</v>
      </c>
      <c r="O32" s="176">
        <f>F32*0.2</f>
        <v>1.1820000000000002</v>
      </c>
      <c r="P32" s="176">
        <f>SUM(N32:O32)</f>
        <v>1.3002000000000002</v>
      </c>
      <c r="Q32" s="176">
        <f>F32</f>
        <v>5.91</v>
      </c>
      <c r="R32" s="163">
        <f t="shared" si="12"/>
        <v>1.2254976</v>
      </c>
      <c r="S32" s="163">
        <f>(P32*350+Q32*250)*1000/10000</f>
        <v>193.25700000000003</v>
      </c>
      <c r="T32" s="177"/>
    </row>
    <row r="33" spans="1:20" ht="24">
      <c r="A33" s="157">
        <v>29</v>
      </c>
      <c r="B33" s="172" t="s">
        <v>2015</v>
      </c>
      <c r="C33" s="173">
        <f t="shared" si="5"/>
        <v>0.752376</v>
      </c>
      <c r="D33" s="174" t="s">
        <v>2040</v>
      </c>
      <c r="E33" s="173">
        <f t="shared" si="6"/>
        <v>0.752376</v>
      </c>
      <c r="F33" s="173">
        <f t="shared" si="4"/>
        <v>8</v>
      </c>
      <c r="G33" s="174" t="s">
        <v>2009</v>
      </c>
      <c r="H33" s="174" t="s">
        <v>2017</v>
      </c>
      <c r="I33" s="174" t="s">
        <v>2041</v>
      </c>
      <c r="J33" s="174" t="s">
        <v>2041</v>
      </c>
      <c r="K33" s="174">
        <v>800</v>
      </c>
      <c r="L33" s="175">
        <f t="shared" si="7"/>
        <v>1128</v>
      </c>
      <c r="M33" s="174" t="s">
        <v>2041</v>
      </c>
      <c r="N33" s="176">
        <f t="shared" si="8"/>
        <v>0.16000000000000003</v>
      </c>
      <c r="O33" s="176">
        <f t="shared" si="9"/>
        <v>1.6</v>
      </c>
      <c r="P33" s="176">
        <f t="shared" si="10"/>
        <v>1.7600000000000002</v>
      </c>
      <c r="Q33" s="176">
        <f t="shared" si="11"/>
        <v>8</v>
      </c>
      <c r="R33" s="163">
        <f t="shared" si="12"/>
        <v>1.65888</v>
      </c>
      <c r="S33" s="163">
        <f t="shared" si="13"/>
        <v>261.6</v>
      </c>
      <c r="T33" s="177"/>
    </row>
    <row r="34" spans="1:20" ht="24">
      <c r="A34" s="157">
        <v>30</v>
      </c>
      <c r="B34" s="172" t="s">
        <v>2015</v>
      </c>
      <c r="C34" s="173">
        <f t="shared" si="5"/>
        <v>0.282141</v>
      </c>
      <c r="D34" s="174" t="s">
        <v>2042</v>
      </c>
      <c r="E34" s="173">
        <f t="shared" si="6"/>
        <v>0.282141</v>
      </c>
      <c r="F34" s="173">
        <f t="shared" si="4"/>
        <v>3</v>
      </c>
      <c r="G34" s="174" t="s">
        <v>2009</v>
      </c>
      <c r="H34" s="174" t="s">
        <v>2017</v>
      </c>
      <c r="I34" s="174" t="s">
        <v>2041</v>
      </c>
      <c r="J34" s="174" t="s">
        <v>2043</v>
      </c>
      <c r="K34" s="174">
        <v>300</v>
      </c>
      <c r="L34" s="175">
        <f t="shared" si="7"/>
        <v>423</v>
      </c>
      <c r="M34" s="174" t="s">
        <v>2041</v>
      </c>
      <c r="N34" s="176">
        <f t="shared" si="8"/>
        <v>0.06000000000000001</v>
      </c>
      <c r="O34" s="176">
        <f t="shared" si="9"/>
        <v>0.6000000000000001</v>
      </c>
      <c r="P34" s="176">
        <f t="shared" si="10"/>
        <v>0.6600000000000001</v>
      </c>
      <c r="Q34" s="176">
        <f t="shared" si="11"/>
        <v>3</v>
      </c>
      <c r="R34" s="163">
        <f t="shared" si="12"/>
        <v>0.6220800000000001</v>
      </c>
      <c r="S34" s="163">
        <f t="shared" si="13"/>
        <v>98.1</v>
      </c>
      <c r="T34" s="177"/>
    </row>
    <row r="35" spans="1:20" ht="13.5">
      <c r="A35" s="157">
        <v>31</v>
      </c>
      <c r="B35" s="172" t="s">
        <v>2015</v>
      </c>
      <c r="C35" s="173">
        <f t="shared" si="5"/>
        <v>1.128564</v>
      </c>
      <c r="D35" s="174" t="s">
        <v>2044</v>
      </c>
      <c r="E35" s="173">
        <f t="shared" si="6"/>
        <v>1.128564</v>
      </c>
      <c r="F35" s="173">
        <f t="shared" si="4"/>
        <v>12</v>
      </c>
      <c r="G35" s="174" t="s">
        <v>2009</v>
      </c>
      <c r="H35" s="174" t="s">
        <v>2017</v>
      </c>
      <c r="I35" s="174" t="s">
        <v>2045</v>
      </c>
      <c r="J35" s="174" t="s">
        <v>2046</v>
      </c>
      <c r="K35" s="174">
        <v>1200</v>
      </c>
      <c r="L35" s="175">
        <f t="shared" si="7"/>
        <v>1692</v>
      </c>
      <c r="M35" s="174" t="s">
        <v>2045</v>
      </c>
      <c r="N35" s="176">
        <f t="shared" si="8"/>
        <v>0.24000000000000005</v>
      </c>
      <c r="O35" s="176">
        <f t="shared" si="9"/>
        <v>2.4000000000000004</v>
      </c>
      <c r="P35" s="176">
        <f t="shared" si="10"/>
        <v>2.6400000000000006</v>
      </c>
      <c r="Q35" s="176">
        <f t="shared" si="11"/>
        <v>12</v>
      </c>
      <c r="R35" s="163">
        <f t="shared" si="12"/>
        <v>2.4883200000000003</v>
      </c>
      <c r="S35" s="163">
        <f t="shared" si="13"/>
        <v>392.4</v>
      </c>
      <c r="T35" s="177"/>
    </row>
    <row r="36" spans="1:20" ht="13.5">
      <c r="A36" s="157">
        <v>32</v>
      </c>
      <c r="B36" s="172" t="s">
        <v>2047</v>
      </c>
      <c r="C36" s="173">
        <f>E36</f>
        <v>1.034517</v>
      </c>
      <c r="D36" s="174" t="s">
        <v>2048</v>
      </c>
      <c r="E36" s="173">
        <f>L36*667/1000000</f>
        <v>1.034517</v>
      </c>
      <c r="F36" s="173">
        <f>K36*0.01</f>
        <v>11</v>
      </c>
      <c r="G36" s="174" t="s">
        <v>2009</v>
      </c>
      <c r="H36" s="174" t="s">
        <v>2017</v>
      </c>
      <c r="I36" s="174" t="s">
        <v>2049</v>
      </c>
      <c r="J36" s="174" t="s">
        <v>2050</v>
      </c>
      <c r="K36" s="174">
        <v>1100</v>
      </c>
      <c r="L36" s="175">
        <f t="shared" si="7"/>
        <v>1551</v>
      </c>
      <c r="M36" s="174" t="s">
        <v>2049</v>
      </c>
      <c r="N36" s="176">
        <f>O36*0.1</f>
        <v>0.22000000000000003</v>
      </c>
      <c r="O36" s="176">
        <f>F36*0.2</f>
        <v>2.2</v>
      </c>
      <c r="P36" s="176">
        <f>SUM(N36:O36)</f>
        <v>2.4200000000000004</v>
      </c>
      <c r="Q36" s="176">
        <f>F36</f>
        <v>11</v>
      </c>
      <c r="R36" s="163">
        <f t="shared" si="12"/>
        <v>2.28096</v>
      </c>
      <c r="S36" s="163">
        <f>(P36*350+Q36*250)*1000/10000</f>
        <v>359.7</v>
      </c>
      <c r="T36" s="177"/>
    </row>
    <row r="37" spans="1:20" ht="13.5">
      <c r="A37" s="157">
        <v>33</v>
      </c>
      <c r="B37" s="172" t="s">
        <v>2015</v>
      </c>
      <c r="C37" s="173">
        <f t="shared" si="5"/>
        <v>1.410705</v>
      </c>
      <c r="D37" s="174" t="s">
        <v>2051</v>
      </c>
      <c r="E37" s="173">
        <f t="shared" si="6"/>
        <v>1.410705</v>
      </c>
      <c r="F37" s="173">
        <f t="shared" si="4"/>
        <v>15</v>
      </c>
      <c r="G37" s="174" t="s">
        <v>2009</v>
      </c>
      <c r="H37" s="174" t="s">
        <v>2017</v>
      </c>
      <c r="I37" s="174" t="s">
        <v>2052</v>
      </c>
      <c r="J37" s="174" t="s">
        <v>2053</v>
      </c>
      <c r="K37" s="174">
        <v>1500</v>
      </c>
      <c r="L37" s="175">
        <f t="shared" si="7"/>
        <v>2115</v>
      </c>
      <c r="M37" s="174" t="s">
        <v>2052</v>
      </c>
      <c r="N37" s="176">
        <f t="shared" si="8"/>
        <v>0.30000000000000004</v>
      </c>
      <c r="O37" s="176">
        <f t="shared" si="9"/>
        <v>3</v>
      </c>
      <c r="P37" s="176">
        <f t="shared" si="10"/>
        <v>3.3</v>
      </c>
      <c r="Q37" s="176">
        <f t="shared" si="11"/>
        <v>15</v>
      </c>
      <c r="R37" s="163">
        <f>Q37*0.12*24*3600*0.2/10000</f>
        <v>3.1104</v>
      </c>
      <c r="S37" s="163">
        <f t="shared" si="13"/>
        <v>490.5</v>
      </c>
      <c r="T37" s="177"/>
    </row>
    <row r="38" spans="1:20" ht="13.5">
      <c r="A38" s="157">
        <v>34</v>
      </c>
      <c r="B38" s="172" t="s">
        <v>2015</v>
      </c>
      <c r="C38" s="173">
        <f t="shared" si="5"/>
        <v>0.4232115</v>
      </c>
      <c r="D38" s="174" t="s">
        <v>2054</v>
      </c>
      <c r="E38" s="173">
        <f t="shared" si="6"/>
        <v>0.4232115</v>
      </c>
      <c r="F38" s="173">
        <f t="shared" si="4"/>
        <v>4.5</v>
      </c>
      <c r="G38" s="174" t="s">
        <v>2009</v>
      </c>
      <c r="H38" s="174" t="s">
        <v>2017</v>
      </c>
      <c r="I38" s="174" t="s">
        <v>2055</v>
      </c>
      <c r="J38" s="174" t="s">
        <v>2056</v>
      </c>
      <c r="K38" s="174">
        <v>450</v>
      </c>
      <c r="L38" s="175">
        <f t="shared" si="7"/>
        <v>634.5</v>
      </c>
      <c r="M38" s="174" t="s">
        <v>2055</v>
      </c>
      <c r="N38" s="176">
        <f t="shared" si="8"/>
        <v>0.09000000000000001</v>
      </c>
      <c r="O38" s="176">
        <f t="shared" si="9"/>
        <v>0.9</v>
      </c>
      <c r="P38" s="176">
        <f t="shared" si="10"/>
        <v>0.99</v>
      </c>
      <c r="Q38" s="176">
        <f t="shared" si="11"/>
        <v>4.5</v>
      </c>
      <c r="R38" s="163">
        <f t="shared" si="12"/>
        <v>0.9331200000000001</v>
      </c>
      <c r="S38" s="163">
        <f t="shared" si="13"/>
        <v>147.15</v>
      </c>
      <c r="T38" s="177"/>
    </row>
  </sheetData>
  <sheetProtection/>
  <mergeCells count="11">
    <mergeCell ref="S2:S3"/>
    <mergeCell ref="T2:T3"/>
    <mergeCell ref="K2:M2"/>
    <mergeCell ref="N2:P2"/>
    <mergeCell ref="Q2:R2"/>
    <mergeCell ref="A1:T1"/>
    <mergeCell ref="A2:A3"/>
    <mergeCell ref="B2:C2"/>
    <mergeCell ref="D2:E2"/>
    <mergeCell ref="F2:F3"/>
    <mergeCell ref="G2:J2"/>
  </mergeCells>
  <printOptions horizontalCentered="1"/>
  <pageMargins left="0.7086614173228347" right="0.7086614173228347" top="0.7480314960629921" bottom="0.7480314960629921" header="0.31496062992125984" footer="0.31496062992125984"/>
  <pageSetup horizontalDpi="600" verticalDpi="600" orientation="landscape" paperSize="8" r:id="rId1"/>
  <headerFooter>
    <oddFooter>&amp;C第 &amp;P 页，共 &amp;N 页</oddFooter>
  </headerFooter>
</worksheet>
</file>

<file path=xl/worksheets/sheet21.xml><?xml version="1.0" encoding="utf-8"?>
<worksheet xmlns="http://schemas.openxmlformats.org/spreadsheetml/2006/main" xmlns:r="http://schemas.openxmlformats.org/officeDocument/2006/relationships">
  <sheetPr>
    <tabColor rgb="FFFF0000"/>
  </sheetPr>
  <dimension ref="A1:AD27"/>
  <sheetViews>
    <sheetView zoomScalePageLayoutView="0" workbookViewId="0" topLeftCell="A1">
      <pane xSplit="2" ySplit="5" topLeftCell="C24" activePane="bottomRight" state="frozen"/>
      <selection pane="topLeft" activeCell="A1" sqref="A1"/>
      <selection pane="topRight" activeCell="C1" sqref="C1"/>
      <selection pane="bottomLeft" activeCell="A7" sqref="A7"/>
      <selection pane="bottomRight" activeCell="G34" sqref="G34"/>
    </sheetView>
  </sheetViews>
  <sheetFormatPr defaultColWidth="9.00390625" defaultRowHeight="13.5"/>
  <cols>
    <col min="1" max="1" width="4.00390625" style="0" customWidth="1"/>
    <col min="2" max="2" width="11.00390625" style="0" customWidth="1"/>
    <col min="3" max="3" width="6.625" style="0" customWidth="1"/>
    <col min="4" max="4" width="7.375" style="0" customWidth="1"/>
    <col min="5" max="7" width="6.25390625" style="0" customWidth="1"/>
    <col min="8" max="12" width="7.00390625" style="0" customWidth="1"/>
    <col min="13" max="13" width="7.125" style="0" customWidth="1"/>
    <col min="20" max="20" width="6.50390625" style="0" customWidth="1"/>
    <col min="23" max="23" width="7.875" style="0" customWidth="1"/>
    <col min="24" max="24" width="10.50390625" style="0" customWidth="1"/>
    <col min="28" max="28" width="7.125" style="0" customWidth="1"/>
    <col min="29" max="29" width="6.875" style="0" customWidth="1"/>
    <col min="30" max="30" width="0" style="0" hidden="1" customWidth="1"/>
  </cols>
  <sheetData>
    <row r="1" spans="1:30" ht="18.75">
      <c r="A1" s="894" t="s">
        <v>1265</v>
      </c>
      <c r="B1" s="894"/>
      <c r="C1" s="894"/>
      <c r="D1" s="894"/>
      <c r="E1" s="894"/>
      <c r="F1" s="894"/>
      <c r="G1" s="894"/>
      <c r="H1" s="894"/>
      <c r="I1" s="894"/>
      <c r="J1" s="894"/>
      <c r="K1" s="894"/>
      <c r="L1" s="894"/>
      <c r="M1" s="894"/>
      <c r="N1" s="894"/>
      <c r="O1" s="894"/>
      <c r="P1" s="894"/>
      <c r="Q1" s="894"/>
      <c r="R1" s="894"/>
      <c r="S1" s="894"/>
      <c r="T1" s="894"/>
      <c r="U1" s="894"/>
      <c r="V1" s="894"/>
      <c r="W1" s="894"/>
      <c r="X1" s="894"/>
      <c r="Y1" s="894"/>
      <c r="Z1" s="894"/>
      <c r="AA1" s="894"/>
      <c r="AB1" s="894"/>
      <c r="AC1" s="894"/>
      <c r="AD1" s="894"/>
    </row>
    <row r="2" spans="1:30" ht="13.5">
      <c r="A2" s="889" t="s">
        <v>1229</v>
      </c>
      <c r="B2" s="895" t="s">
        <v>1230</v>
      </c>
      <c r="C2" s="895" t="s">
        <v>1231</v>
      </c>
      <c r="D2" s="898" t="s">
        <v>1232</v>
      </c>
      <c r="E2" s="890" t="s">
        <v>1233</v>
      </c>
      <c r="F2" s="890"/>
      <c r="G2" s="890"/>
      <c r="H2" s="890"/>
      <c r="I2" s="890"/>
      <c r="J2" s="890"/>
      <c r="K2" s="890"/>
      <c r="L2" s="890"/>
      <c r="M2" s="890" t="s">
        <v>1234</v>
      </c>
      <c r="N2" s="890"/>
      <c r="O2" s="890"/>
      <c r="P2" s="890"/>
      <c r="Q2" s="890" t="s">
        <v>1235</v>
      </c>
      <c r="R2" s="890"/>
      <c r="S2" s="890"/>
      <c r="T2" s="890" t="s">
        <v>1236</v>
      </c>
      <c r="U2" s="890"/>
      <c r="V2" s="890"/>
      <c r="W2" s="884" t="s">
        <v>1237</v>
      </c>
      <c r="X2" s="884"/>
      <c r="Y2" s="884"/>
      <c r="Z2" s="884"/>
      <c r="AA2" s="884"/>
      <c r="AB2" s="886" t="s">
        <v>1238</v>
      </c>
      <c r="AC2" s="889" t="s">
        <v>1239</v>
      </c>
      <c r="AD2" s="889" t="s">
        <v>1240</v>
      </c>
    </row>
    <row r="3" spans="1:30" ht="24">
      <c r="A3" s="889"/>
      <c r="B3" s="896"/>
      <c r="C3" s="896"/>
      <c r="D3" s="899"/>
      <c r="E3" s="890" t="s">
        <v>1241</v>
      </c>
      <c r="F3" s="891" t="s">
        <v>1242</v>
      </c>
      <c r="G3" s="892" t="s">
        <v>1243</v>
      </c>
      <c r="H3" s="890" t="s">
        <v>1244</v>
      </c>
      <c r="I3" s="890"/>
      <c r="J3" s="890"/>
      <c r="K3" s="890" t="s">
        <v>1245</v>
      </c>
      <c r="L3" s="890" t="s">
        <v>1246</v>
      </c>
      <c r="M3" s="885" t="s">
        <v>1247</v>
      </c>
      <c r="N3" s="54" t="s">
        <v>1169</v>
      </c>
      <c r="O3" s="54" t="s">
        <v>1248</v>
      </c>
      <c r="P3" s="53" t="s">
        <v>1249</v>
      </c>
      <c r="Q3" s="53" t="s">
        <v>1250</v>
      </c>
      <c r="R3" s="885" t="s">
        <v>1251</v>
      </c>
      <c r="S3" s="53" t="s">
        <v>1252</v>
      </c>
      <c r="T3" s="885" t="s">
        <v>1253</v>
      </c>
      <c r="U3" s="53" t="s">
        <v>1249</v>
      </c>
      <c r="V3" s="628" t="s">
        <v>2576</v>
      </c>
      <c r="W3" s="884" t="s">
        <v>1254</v>
      </c>
      <c r="X3" s="884" t="s">
        <v>1255</v>
      </c>
      <c r="Y3" s="884" t="s">
        <v>1256</v>
      </c>
      <c r="Z3" s="884" t="s">
        <v>1257</v>
      </c>
      <c r="AA3" s="884" t="s">
        <v>1258</v>
      </c>
      <c r="AB3" s="887"/>
      <c r="AC3" s="889"/>
      <c r="AD3" s="889"/>
    </row>
    <row r="4" spans="1:30" ht="24">
      <c r="A4" s="889"/>
      <c r="B4" s="897"/>
      <c r="C4" s="897"/>
      <c r="D4" s="900"/>
      <c r="E4" s="890"/>
      <c r="F4" s="891"/>
      <c r="G4" s="893"/>
      <c r="H4" s="52" t="s">
        <v>1259</v>
      </c>
      <c r="I4" s="52" t="s">
        <v>1260</v>
      </c>
      <c r="J4" s="52" t="s">
        <v>1261</v>
      </c>
      <c r="K4" s="890"/>
      <c r="L4" s="890"/>
      <c r="M4" s="885"/>
      <c r="N4" s="54" t="s">
        <v>1262</v>
      </c>
      <c r="O4" s="54" t="s">
        <v>1263</v>
      </c>
      <c r="P4" s="53" t="s">
        <v>1264</v>
      </c>
      <c r="Q4" s="53" t="s">
        <v>1264</v>
      </c>
      <c r="R4" s="885"/>
      <c r="S4" s="53" t="s">
        <v>1263</v>
      </c>
      <c r="T4" s="885"/>
      <c r="U4" s="53" t="s">
        <v>1264</v>
      </c>
      <c r="V4" s="55" t="s">
        <v>1263</v>
      </c>
      <c r="W4" s="884"/>
      <c r="X4" s="884"/>
      <c r="Y4" s="884"/>
      <c r="Z4" s="884"/>
      <c r="AA4" s="884"/>
      <c r="AB4" s="888"/>
      <c r="AC4" s="889"/>
      <c r="AD4" s="889"/>
    </row>
    <row r="5" spans="1:30" ht="13.5">
      <c r="A5" s="34">
        <v>-1</v>
      </c>
      <c r="B5" s="34">
        <v>-2</v>
      </c>
      <c r="C5" s="34">
        <v>-3</v>
      </c>
      <c r="D5" s="34">
        <v>-4</v>
      </c>
      <c r="E5" s="34">
        <v>-5</v>
      </c>
      <c r="F5" s="34">
        <v>-6</v>
      </c>
      <c r="G5" s="34">
        <v>-7</v>
      </c>
      <c r="H5" s="34">
        <v>-8</v>
      </c>
      <c r="I5" s="34">
        <v>-9</v>
      </c>
      <c r="J5" s="34">
        <v>-10</v>
      </c>
      <c r="K5" s="34">
        <v>-11</v>
      </c>
      <c r="L5" s="34">
        <v>-12</v>
      </c>
      <c r="M5" s="34">
        <v>-13</v>
      </c>
      <c r="N5" s="34">
        <v>-14</v>
      </c>
      <c r="O5" s="34">
        <v>-15</v>
      </c>
      <c r="P5" s="34">
        <v>-16</v>
      </c>
      <c r="Q5" s="34">
        <v>-17</v>
      </c>
      <c r="R5" s="34">
        <v>-18</v>
      </c>
      <c r="S5" s="34">
        <v>-19</v>
      </c>
      <c r="T5" s="34">
        <v>-20</v>
      </c>
      <c r="U5" s="34">
        <v>-21</v>
      </c>
      <c r="V5" s="34">
        <v>-22</v>
      </c>
      <c r="W5" s="34">
        <v>-23</v>
      </c>
      <c r="X5" s="34">
        <v>-24</v>
      </c>
      <c r="Y5" s="34">
        <v>-25</v>
      </c>
      <c r="Z5" s="34">
        <v>-26</v>
      </c>
      <c r="AA5" s="34">
        <v>-27</v>
      </c>
      <c r="AB5" s="34">
        <v>-28</v>
      </c>
      <c r="AC5" s="34">
        <v>-29</v>
      </c>
      <c r="AD5" s="34">
        <v>-30</v>
      </c>
    </row>
    <row r="6" spans="1:30" s="97" customFormat="1" ht="13.5">
      <c r="A6" s="117"/>
      <c r="B6" s="118" t="s">
        <v>1747</v>
      </c>
      <c r="C6" s="117"/>
      <c r="D6" s="117"/>
      <c r="E6" s="117"/>
      <c r="F6" s="117"/>
      <c r="G6" s="117">
        <f>SUM(G7:G27)</f>
        <v>6</v>
      </c>
      <c r="H6" s="117">
        <f aca="true" t="shared" si="0" ref="H6:AB6">SUM(H7:H27)</f>
        <v>37.7919</v>
      </c>
      <c r="I6" s="117">
        <f t="shared" si="0"/>
        <v>0</v>
      </c>
      <c r="J6" s="117">
        <f t="shared" si="0"/>
        <v>14.7919</v>
      </c>
      <c r="K6" s="117">
        <f t="shared" si="0"/>
        <v>360</v>
      </c>
      <c r="L6" s="117">
        <f t="shared" si="0"/>
        <v>900</v>
      </c>
      <c r="M6" s="117">
        <f t="shared" si="0"/>
        <v>0</v>
      </c>
      <c r="N6" s="117">
        <f t="shared" si="0"/>
        <v>15.2</v>
      </c>
      <c r="O6" s="117">
        <f t="shared" si="0"/>
        <v>578.575</v>
      </c>
      <c r="P6" s="117">
        <f t="shared" si="0"/>
        <v>127.2</v>
      </c>
      <c r="Q6" s="117">
        <f t="shared" si="0"/>
        <v>8.56</v>
      </c>
      <c r="R6" s="117">
        <f t="shared" si="0"/>
        <v>0</v>
      </c>
      <c r="S6" s="117">
        <f t="shared" si="0"/>
        <v>6633.72</v>
      </c>
      <c r="T6" s="117">
        <f t="shared" si="0"/>
        <v>0</v>
      </c>
      <c r="U6" s="117">
        <f t="shared" si="0"/>
        <v>50.30199999999999</v>
      </c>
      <c r="V6" s="117">
        <f t="shared" si="0"/>
        <v>12664.4</v>
      </c>
      <c r="W6" s="117">
        <f t="shared" si="0"/>
        <v>0</v>
      </c>
      <c r="X6" s="117">
        <f t="shared" si="0"/>
        <v>1467122</v>
      </c>
      <c r="Y6" s="117">
        <f t="shared" si="0"/>
        <v>26673</v>
      </c>
      <c r="Z6" s="117">
        <f t="shared" si="0"/>
        <v>15550</v>
      </c>
      <c r="AA6" s="117">
        <f t="shared" si="0"/>
        <v>2090</v>
      </c>
      <c r="AB6" s="117">
        <f t="shared" si="0"/>
        <v>7549.530000000001</v>
      </c>
      <c r="AC6" s="117"/>
      <c r="AD6" s="117"/>
    </row>
    <row r="7" spans="1:30" ht="45.75" customHeight="1">
      <c r="A7" s="298">
        <v>1</v>
      </c>
      <c r="B7" s="462" t="s">
        <v>1374</v>
      </c>
      <c r="C7" s="462" t="s">
        <v>1375</v>
      </c>
      <c r="D7" s="462" t="s">
        <v>1325</v>
      </c>
      <c r="E7" s="462"/>
      <c r="F7" s="462"/>
      <c r="G7" s="462"/>
      <c r="H7" s="462"/>
      <c r="I7" s="462"/>
      <c r="J7" s="462"/>
      <c r="K7" s="462"/>
      <c r="L7" s="462"/>
      <c r="M7" s="462"/>
      <c r="N7" s="462"/>
      <c r="O7" s="462"/>
      <c r="P7" s="462"/>
      <c r="Q7" s="462"/>
      <c r="R7" s="462"/>
      <c r="S7" s="462"/>
      <c r="T7" s="463" t="s">
        <v>1382</v>
      </c>
      <c r="U7" s="464">
        <v>7.8</v>
      </c>
      <c r="V7" s="464">
        <v>150</v>
      </c>
      <c r="W7" s="462" t="s">
        <v>1376</v>
      </c>
      <c r="X7" s="462"/>
      <c r="Y7" s="462">
        <v>2200</v>
      </c>
      <c r="Z7" s="462">
        <v>200</v>
      </c>
      <c r="AA7" s="462"/>
      <c r="AB7" s="464">
        <v>60</v>
      </c>
      <c r="AC7" s="464" t="s">
        <v>1326</v>
      </c>
      <c r="AD7" s="465"/>
    </row>
    <row r="8" spans="1:30" ht="45.75" customHeight="1">
      <c r="A8" s="298">
        <v>2</v>
      </c>
      <c r="B8" s="271" t="s">
        <v>1377</v>
      </c>
      <c r="C8" s="462" t="s">
        <v>1375</v>
      </c>
      <c r="D8" s="462" t="s">
        <v>1325</v>
      </c>
      <c r="E8" s="271"/>
      <c r="F8" s="271"/>
      <c r="G8" s="271"/>
      <c r="H8" s="271"/>
      <c r="I8" s="271"/>
      <c r="J8" s="271"/>
      <c r="K8" s="271"/>
      <c r="L8" s="271"/>
      <c r="M8" s="271"/>
      <c r="N8" s="271"/>
      <c r="O8" s="271"/>
      <c r="P8" s="271"/>
      <c r="Q8" s="271"/>
      <c r="R8" s="271"/>
      <c r="S8" s="271"/>
      <c r="T8" s="298" t="s">
        <v>1378</v>
      </c>
      <c r="U8" s="271">
        <v>2.6</v>
      </c>
      <c r="V8" s="271">
        <v>100</v>
      </c>
      <c r="W8" s="271" t="s">
        <v>1379</v>
      </c>
      <c r="X8" s="271"/>
      <c r="Y8" s="271"/>
      <c r="Z8" s="271">
        <v>450</v>
      </c>
      <c r="AA8" s="271"/>
      <c r="AB8" s="271">
        <v>120</v>
      </c>
      <c r="AC8" s="464" t="s">
        <v>1326</v>
      </c>
      <c r="AD8" s="274" t="s">
        <v>1380</v>
      </c>
    </row>
    <row r="9" spans="1:30" s="56" customFormat="1" ht="45.75" customHeight="1">
      <c r="A9" s="298">
        <v>3</v>
      </c>
      <c r="B9" s="466" t="s">
        <v>1381</v>
      </c>
      <c r="C9" s="462" t="s">
        <v>1375</v>
      </c>
      <c r="D9" s="462" t="s">
        <v>1325</v>
      </c>
      <c r="E9" s="467"/>
      <c r="F9" s="467"/>
      <c r="G9" s="467"/>
      <c r="H9" s="467"/>
      <c r="I9" s="467"/>
      <c r="J9" s="467"/>
      <c r="K9" s="467"/>
      <c r="L9" s="467"/>
      <c r="M9" s="467"/>
      <c r="N9" s="467"/>
      <c r="O9" s="467"/>
      <c r="P9" s="467"/>
      <c r="Q9" s="467"/>
      <c r="R9" s="467"/>
      <c r="S9" s="467"/>
      <c r="T9" s="274" t="s">
        <v>1378</v>
      </c>
      <c r="U9" s="271">
        <v>2.7</v>
      </c>
      <c r="V9" s="271">
        <v>3000</v>
      </c>
      <c r="W9" s="271" t="s">
        <v>1383</v>
      </c>
      <c r="X9" s="271"/>
      <c r="Y9" s="271"/>
      <c r="Z9" s="271">
        <v>3500</v>
      </c>
      <c r="AA9" s="271"/>
      <c r="AB9" s="271">
        <v>235</v>
      </c>
      <c r="AC9" s="464" t="s">
        <v>1326</v>
      </c>
      <c r="AD9" s="468" t="s">
        <v>1384</v>
      </c>
    </row>
    <row r="10" spans="1:30" s="56" customFormat="1" ht="45.75" customHeight="1">
      <c r="A10" s="298">
        <v>4</v>
      </c>
      <c r="B10" s="619" t="s">
        <v>2568</v>
      </c>
      <c r="C10" s="462" t="s">
        <v>1375</v>
      </c>
      <c r="D10" s="462" t="s">
        <v>39</v>
      </c>
      <c r="E10" s="467"/>
      <c r="F10" s="467"/>
      <c r="G10" s="467"/>
      <c r="H10" s="467"/>
      <c r="I10" s="467"/>
      <c r="J10" s="467"/>
      <c r="K10" s="467"/>
      <c r="L10" s="467"/>
      <c r="M10" s="467"/>
      <c r="N10" s="467"/>
      <c r="O10" s="467"/>
      <c r="P10" s="467"/>
      <c r="Q10" s="467"/>
      <c r="R10" s="467"/>
      <c r="S10" s="467"/>
      <c r="T10" s="274" t="s">
        <v>1378</v>
      </c>
      <c r="U10" s="271">
        <v>12.5</v>
      </c>
      <c r="V10" s="271">
        <v>2500</v>
      </c>
      <c r="W10" s="620" t="s">
        <v>2567</v>
      </c>
      <c r="X10" s="271">
        <v>1050000</v>
      </c>
      <c r="Y10" s="271">
        <v>2100</v>
      </c>
      <c r="Z10" s="271">
        <v>4200</v>
      </c>
      <c r="AA10" s="271"/>
      <c r="AB10" s="271">
        <v>2000</v>
      </c>
      <c r="AC10" s="464" t="s">
        <v>43</v>
      </c>
      <c r="AD10" s="468"/>
    </row>
    <row r="11" spans="1:30" s="64" customFormat="1" ht="45.75" customHeight="1">
      <c r="A11" s="298">
        <v>5</v>
      </c>
      <c r="B11" s="460" t="s">
        <v>1423</v>
      </c>
      <c r="C11" s="460" t="s">
        <v>1375</v>
      </c>
      <c r="D11" s="460" t="s">
        <v>1325</v>
      </c>
      <c r="E11" s="460"/>
      <c r="F11" s="460"/>
      <c r="G11" s="460"/>
      <c r="H11" s="460"/>
      <c r="I11" s="460"/>
      <c r="J11" s="460"/>
      <c r="K11" s="460"/>
      <c r="L11" s="460"/>
      <c r="M11" s="460"/>
      <c r="N11" s="460"/>
      <c r="O11" s="460"/>
      <c r="P11" s="460"/>
      <c r="Q11" s="460"/>
      <c r="R11" s="460"/>
      <c r="S11" s="460"/>
      <c r="T11" s="460" t="s">
        <v>1329</v>
      </c>
      <c r="U11" s="460">
        <v>1</v>
      </c>
      <c r="V11" s="460">
        <v>300</v>
      </c>
      <c r="W11" s="460" t="s">
        <v>1424</v>
      </c>
      <c r="X11" s="460">
        <v>109500</v>
      </c>
      <c r="Y11" s="460">
        <v>5000</v>
      </c>
      <c r="Z11" s="460">
        <v>1000</v>
      </c>
      <c r="AA11" s="460">
        <v>2000</v>
      </c>
      <c r="AB11" s="460">
        <v>1000</v>
      </c>
      <c r="AC11" s="274">
        <v>2018</v>
      </c>
      <c r="AD11" s="460" t="s">
        <v>1425</v>
      </c>
    </row>
    <row r="12" spans="1:30" ht="45.75" customHeight="1">
      <c r="A12" s="298">
        <v>6</v>
      </c>
      <c r="B12" s="460" t="s">
        <v>1602</v>
      </c>
      <c r="C12" s="458" t="s">
        <v>1375</v>
      </c>
      <c r="D12" s="458" t="s">
        <v>1582</v>
      </c>
      <c r="E12" s="457"/>
      <c r="F12" s="457"/>
      <c r="G12" s="457"/>
      <c r="H12" s="457"/>
      <c r="I12" s="457"/>
      <c r="J12" s="457"/>
      <c r="K12" s="457"/>
      <c r="L12" s="457"/>
      <c r="M12" s="458" t="s">
        <v>1599</v>
      </c>
      <c r="N12" s="458">
        <v>1.2</v>
      </c>
      <c r="O12" s="469">
        <f>Y12*75/1000</f>
        <v>2.475</v>
      </c>
      <c r="P12" s="470">
        <v>1.2</v>
      </c>
      <c r="Q12" s="457"/>
      <c r="R12" s="457"/>
      <c r="S12" s="457"/>
      <c r="T12" s="458"/>
      <c r="U12" s="457"/>
      <c r="V12" s="457"/>
      <c r="W12" s="470"/>
      <c r="X12" s="471"/>
      <c r="Y12" s="458">
        <v>33</v>
      </c>
      <c r="Z12" s="470"/>
      <c r="AA12" s="457"/>
      <c r="AB12" s="469">
        <f>Y12*600/10000</f>
        <v>1.98</v>
      </c>
      <c r="AC12" s="274" t="s">
        <v>1600</v>
      </c>
      <c r="AD12" s="457"/>
    </row>
    <row r="13" spans="1:30" ht="45.75" customHeight="1">
      <c r="A13" s="298">
        <v>7</v>
      </c>
      <c r="B13" s="271" t="s">
        <v>1603</v>
      </c>
      <c r="C13" s="458" t="s">
        <v>1375</v>
      </c>
      <c r="D13" s="271" t="s">
        <v>1584</v>
      </c>
      <c r="E13" s="271"/>
      <c r="F13" s="271"/>
      <c r="G13" s="271"/>
      <c r="H13" s="271"/>
      <c r="I13" s="271"/>
      <c r="J13" s="271"/>
      <c r="K13" s="271"/>
      <c r="L13" s="271"/>
      <c r="M13" s="458" t="s">
        <v>1599</v>
      </c>
      <c r="N13" s="472">
        <v>1</v>
      </c>
      <c r="O13" s="469">
        <f aca="true" t="shared" si="1" ref="O13:O18">Y13*75/1000</f>
        <v>7.2</v>
      </c>
      <c r="P13" s="473">
        <v>0.8</v>
      </c>
      <c r="Q13" s="271"/>
      <c r="R13" s="271"/>
      <c r="S13" s="271"/>
      <c r="T13" s="458"/>
      <c r="U13" s="271"/>
      <c r="V13" s="271"/>
      <c r="W13" s="271"/>
      <c r="X13" s="471"/>
      <c r="Y13" s="271">
        <v>96</v>
      </c>
      <c r="Z13" s="470"/>
      <c r="AA13" s="271"/>
      <c r="AB13" s="469">
        <f aca="true" t="shared" si="2" ref="AB13:AB18">Y13*600/10000</f>
        <v>5.76</v>
      </c>
      <c r="AC13" s="274" t="s">
        <v>1600</v>
      </c>
      <c r="AD13" s="456"/>
    </row>
    <row r="14" spans="1:30" ht="45.75" customHeight="1">
      <c r="A14" s="298">
        <v>8</v>
      </c>
      <c r="B14" s="274" t="s">
        <v>1604</v>
      </c>
      <c r="C14" s="458" t="s">
        <v>1375</v>
      </c>
      <c r="D14" s="271" t="s">
        <v>1584</v>
      </c>
      <c r="E14" s="271"/>
      <c r="F14" s="271"/>
      <c r="G14" s="271"/>
      <c r="H14" s="271"/>
      <c r="I14" s="271"/>
      <c r="J14" s="271"/>
      <c r="K14" s="271"/>
      <c r="L14" s="271"/>
      <c r="M14" s="458" t="s">
        <v>1601</v>
      </c>
      <c r="N14" s="472">
        <v>1</v>
      </c>
      <c r="O14" s="469">
        <f t="shared" si="1"/>
        <v>6.6</v>
      </c>
      <c r="P14" s="473">
        <v>0.5</v>
      </c>
      <c r="Q14" s="271"/>
      <c r="R14" s="271"/>
      <c r="S14" s="271"/>
      <c r="T14" s="458"/>
      <c r="U14" s="271"/>
      <c r="V14" s="271"/>
      <c r="W14" s="271"/>
      <c r="X14" s="471"/>
      <c r="Y14" s="271">
        <v>88</v>
      </c>
      <c r="Z14" s="470"/>
      <c r="AA14" s="271"/>
      <c r="AB14" s="469">
        <f t="shared" si="2"/>
        <v>5.28</v>
      </c>
      <c r="AC14" s="274" t="s">
        <v>1600</v>
      </c>
      <c r="AD14" s="456"/>
    </row>
    <row r="15" spans="1:30" ht="45.75" customHeight="1">
      <c r="A15" s="298">
        <v>9</v>
      </c>
      <c r="B15" s="274" t="s">
        <v>1605</v>
      </c>
      <c r="C15" s="458" t="s">
        <v>1375</v>
      </c>
      <c r="D15" s="274" t="s">
        <v>1581</v>
      </c>
      <c r="E15" s="274"/>
      <c r="F15" s="274"/>
      <c r="G15" s="274"/>
      <c r="H15" s="274"/>
      <c r="I15" s="274"/>
      <c r="J15" s="274"/>
      <c r="K15" s="274"/>
      <c r="L15" s="274"/>
      <c r="M15" s="458" t="s">
        <v>1599</v>
      </c>
      <c r="N15" s="328">
        <v>2</v>
      </c>
      <c r="O15" s="469">
        <f t="shared" si="1"/>
        <v>10.125</v>
      </c>
      <c r="P15" s="474">
        <v>0.8</v>
      </c>
      <c r="Q15" s="274"/>
      <c r="R15" s="274"/>
      <c r="S15" s="274"/>
      <c r="T15" s="458"/>
      <c r="U15" s="274"/>
      <c r="V15" s="274"/>
      <c r="W15" s="470"/>
      <c r="X15" s="471"/>
      <c r="Y15" s="274">
        <v>135</v>
      </c>
      <c r="Z15" s="470"/>
      <c r="AA15" s="274"/>
      <c r="AB15" s="469">
        <f t="shared" si="2"/>
        <v>8.1</v>
      </c>
      <c r="AC15" s="274" t="s">
        <v>1600</v>
      </c>
      <c r="AD15" s="456"/>
    </row>
    <row r="16" spans="1:30" ht="45.75" customHeight="1">
      <c r="A16" s="298">
        <v>10</v>
      </c>
      <c r="B16" s="274" t="s">
        <v>1606</v>
      </c>
      <c r="C16" s="458" t="s">
        <v>1375</v>
      </c>
      <c r="D16" s="274" t="s">
        <v>1576</v>
      </c>
      <c r="E16" s="274"/>
      <c r="F16" s="274"/>
      <c r="G16" s="274"/>
      <c r="H16" s="274"/>
      <c r="I16" s="274"/>
      <c r="J16" s="274"/>
      <c r="K16" s="274"/>
      <c r="L16" s="274"/>
      <c r="M16" s="458" t="s">
        <v>1599</v>
      </c>
      <c r="N16" s="460">
        <v>2</v>
      </c>
      <c r="O16" s="469">
        <f t="shared" si="1"/>
        <v>9.525</v>
      </c>
      <c r="P16" s="474">
        <v>1.8</v>
      </c>
      <c r="Q16" s="274"/>
      <c r="R16" s="274"/>
      <c r="S16" s="274"/>
      <c r="T16" s="458"/>
      <c r="U16" s="274"/>
      <c r="V16" s="274"/>
      <c r="W16" s="271"/>
      <c r="X16" s="471"/>
      <c r="Y16" s="274">
        <v>127</v>
      </c>
      <c r="Z16" s="470"/>
      <c r="AA16" s="274"/>
      <c r="AB16" s="469">
        <f t="shared" si="2"/>
        <v>7.62</v>
      </c>
      <c r="AC16" s="274" t="s">
        <v>1600</v>
      </c>
      <c r="AD16" s="456"/>
    </row>
    <row r="17" spans="1:30" ht="45.75" customHeight="1">
      <c r="A17" s="298">
        <v>11</v>
      </c>
      <c r="B17" s="274" t="s">
        <v>1607</v>
      </c>
      <c r="C17" s="458" t="s">
        <v>1375</v>
      </c>
      <c r="D17" s="274" t="s">
        <v>1581</v>
      </c>
      <c r="E17" s="274"/>
      <c r="F17" s="274"/>
      <c r="G17" s="274"/>
      <c r="H17" s="274"/>
      <c r="I17" s="274"/>
      <c r="J17" s="274"/>
      <c r="K17" s="274"/>
      <c r="L17" s="274"/>
      <c r="M17" s="458" t="s">
        <v>1599</v>
      </c>
      <c r="N17" s="460">
        <v>1</v>
      </c>
      <c r="O17" s="469">
        <f t="shared" si="1"/>
        <v>3</v>
      </c>
      <c r="P17" s="474">
        <v>0.6</v>
      </c>
      <c r="Q17" s="274"/>
      <c r="R17" s="274"/>
      <c r="S17" s="274"/>
      <c r="T17" s="458"/>
      <c r="U17" s="274"/>
      <c r="V17" s="274"/>
      <c r="W17" s="274"/>
      <c r="X17" s="274"/>
      <c r="Y17" s="274">
        <v>40</v>
      </c>
      <c r="Z17" s="274"/>
      <c r="AA17" s="274"/>
      <c r="AB17" s="469">
        <f t="shared" si="2"/>
        <v>2.4</v>
      </c>
      <c r="AC17" s="274" t="s">
        <v>1600</v>
      </c>
      <c r="AD17" s="456"/>
    </row>
    <row r="18" spans="1:30" ht="45.75" customHeight="1">
      <c r="A18" s="298">
        <v>12</v>
      </c>
      <c r="B18" s="274" t="s">
        <v>1608</v>
      </c>
      <c r="C18" s="458" t="s">
        <v>1375</v>
      </c>
      <c r="D18" s="274" t="s">
        <v>1581</v>
      </c>
      <c r="E18" s="274"/>
      <c r="F18" s="274"/>
      <c r="G18" s="274"/>
      <c r="H18" s="274"/>
      <c r="I18" s="274"/>
      <c r="J18" s="274"/>
      <c r="K18" s="274"/>
      <c r="L18" s="274"/>
      <c r="M18" s="458" t="s">
        <v>1599</v>
      </c>
      <c r="N18" s="460">
        <v>2</v>
      </c>
      <c r="O18" s="469">
        <f t="shared" si="1"/>
        <v>19.35</v>
      </c>
      <c r="P18" s="474">
        <v>2.5</v>
      </c>
      <c r="Q18" s="274"/>
      <c r="R18" s="274"/>
      <c r="S18" s="274"/>
      <c r="T18" s="458"/>
      <c r="U18" s="274"/>
      <c r="V18" s="274"/>
      <c r="W18" s="274"/>
      <c r="X18" s="274"/>
      <c r="Y18" s="274">
        <v>258</v>
      </c>
      <c r="Z18" s="274"/>
      <c r="AA18" s="274"/>
      <c r="AB18" s="469">
        <f t="shared" si="2"/>
        <v>15.48</v>
      </c>
      <c r="AC18" s="274" t="s">
        <v>1600</v>
      </c>
      <c r="AD18" s="456"/>
    </row>
    <row r="19" spans="1:30" ht="45.75" customHeight="1">
      <c r="A19" s="298">
        <v>13</v>
      </c>
      <c r="B19" s="274" t="s">
        <v>1673</v>
      </c>
      <c r="C19" s="458" t="s">
        <v>1375</v>
      </c>
      <c r="D19" s="460" t="s">
        <v>1674</v>
      </c>
      <c r="E19" s="274" t="s">
        <v>1785</v>
      </c>
      <c r="F19" s="274" t="s">
        <v>1657</v>
      </c>
      <c r="G19" s="274"/>
      <c r="H19" s="274">
        <v>36</v>
      </c>
      <c r="I19" s="274"/>
      <c r="J19" s="274">
        <v>13</v>
      </c>
      <c r="K19" s="274"/>
      <c r="L19" s="274"/>
      <c r="M19" s="274"/>
      <c r="N19" s="274"/>
      <c r="O19" s="274"/>
      <c r="P19" s="274"/>
      <c r="Q19" s="274"/>
      <c r="R19" s="274"/>
      <c r="S19" s="274">
        <v>344</v>
      </c>
      <c r="T19" s="588" t="s">
        <v>2584</v>
      </c>
      <c r="U19" s="475">
        <v>15.4</v>
      </c>
      <c r="V19" s="475">
        <v>541.7</v>
      </c>
      <c r="W19" s="274" t="s">
        <v>1657</v>
      </c>
      <c r="X19" s="274">
        <v>130000</v>
      </c>
      <c r="Y19" s="475">
        <v>3965</v>
      </c>
      <c r="Z19" s="274"/>
      <c r="AA19" s="274"/>
      <c r="AB19" s="279">
        <v>500</v>
      </c>
      <c r="AC19" s="274" t="s">
        <v>1326</v>
      </c>
      <c r="AD19" s="274"/>
    </row>
    <row r="20" spans="1:30" ht="45.75" customHeight="1">
      <c r="A20" s="298">
        <v>14</v>
      </c>
      <c r="B20" s="460" t="s">
        <v>1675</v>
      </c>
      <c r="C20" s="458" t="s">
        <v>1375</v>
      </c>
      <c r="D20" s="460" t="s">
        <v>1674</v>
      </c>
      <c r="E20" s="460"/>
      <c r="F20" s="460"/>
      <c r="G20" s="460"/>
      <c r="H20" s="460"/>
      <c r="I20" s="460"/>
      <c r="J20" s="460"/>
      <c r="K20" s="460"/>
      <c r="L20" s="460"/>
      <c r="M20" s="460"/>
      <c r="N20" s="460"/>
      <c r="O20" s="460"/>
      <c r="P20" s="460"/>
      <c r="Q20" s="460"/>
      <c r="R20" s="460"/>
      <c r="S20" s="460"/>
      <c r="T20" s="460" t="s">
        <v>1676</v>
      </c>
      <c r="U20" s="294">
        <v>0.36</v>
      </c>
      <c r="V20" s="279">
        <f>Y20*0.075</f>
        <v>21.9</v>
      </c>
      <c r="W20" s="460" t="s">
        <v>1677</v>
      </c>
      <c r="X20" s="279">
        <v>7665</v>
      </c>
      <c r="Y20" s="460">
        <v>292</v>
      </c>
      <c r="Z20" s="460"/>
      <c r="AA20" s="460"/>
      <c r="AB20" s="279">
        <v>1.08</v>
      </c>
      <c r="AC20" s="274" t="s">
        <v>1326</v>
      </c>
      <c r="AD20" s="460"/>
    </row>
    <row r="21" spans="1:30" ht="45.75" customHeight="1">
      <c r="A21" s="298">
        <v>15</v>
      </c>
      <c r="B21" s="271" t="s">
        <v>1678</v>
      </c>
      <c r="C21" s="458" t="s">
        <v>1375</v>
      </c>
      <c r="D21" s="460" t="s">
        <v>1674</v>
      </c>
      <c r="E21" s="271" t="s">
        <v>1679</v>
      </c>
      <c r="F21" s="271" t="s">
        <v>1680</v>
      </c>
      <c r="G21" s="271">
        <v>6</v>
      </c>
      <c r="H21" s="271">
        <f>SUM(I21:J21)</f>
        <v>1.7919</v>
      </c>
      <c r="I21" s="271"/>
      <c r="J21" s="271">
        <f>X21/10000</f>
        <v>1.7919</v>
      </c>
      <c r="K21" s="271">
        <v>360</v>
      </c>
      <c r="L21" s="271">
        <v>900</v>
      </c>
      <c r="M21" s="271"/>
      <c r="N21" s="271"/>
      <c r="O21" s="271"/>
      <c r="P21" s="271"/>
      <c r="Q21" s="476">
        <v>0.16</v>
      </c>
      <c r="R21" s="271" t="s">
        <v>1681</v>
      </c>
      <c r="S21" s="271">
        <v>414.72</v>
      </c>
      <c r="T21" s="271" t="s">
        <v>1679</v>
      </c>
      <c r="U21" s="477">
        <v>0.132</v>
      </c>
      <c r="V21" s="279">
        <f>Y21*0.075</f>
        <v>149.325</v>
      </c>
      <c r="W21" s="460" t="s">
        <v>1682</v>
      </c>
      <c r="X21" s="279">
        <f>V21*120</f>
        <v>17919</v>
      </c>
      <c r="Y21" s="271">
        <v>1991</v>
      </c>
      <c r="Z21" s="271">
        <f>L21</f>
        <v>900</v>
      </c>
      <c r="AA21" s="271">
        <f>Z21*0.1</f>
        <v>90</v>
      </c>
      <c r="AB21" s="284">
        <v>12.3</v>
      </c>
      <c r="AC21" s="274" t="s">
        <v>1326</v>
      </c>
      <c r="AD21" s="274"/>
    </row>
    <row r="22" spans="1:30" ht="45.75" customHeight="1">
      <c r="A22" s="298">
        <v>16</v>
      </c>
      <c r="B22" s="271" t="s">
        <v>1683</v>
      </c>
      <c r="C22" s="458" t="s">
        <v>1375</v>
      </c>
      <c r="D22" s="460" t="s">
        <v>1674</v>
      </c>
      <c r="E22" s="271"/>
      <c r="F22" s="271"/>
      <c r="G22" s="271"/>
      <c r="H22" s="271"/>
      <c r="I22" s="271"/>
      <c r="J22" s="271"/>
      <c r="K22" s="271"/>
      <c r="L22" s="271"/>
      <c r="M22" s="460" t="s">
        <v>1684</v>
      </c>
      <c r="N22" s="460">
        <v>2</v>
      </c>
      <c r="O22" s="271">
        <f>Y22*0.1</f>
        <v>35.300000000000004</v>
      </c>
      <c r="P22" s="271">
        <v>100</v>
      </c>
      <c r="Q22" s="271"/>
      <c r="R22" s="271"/>
      <c r="S22" s="271"/>
      <c r="T22" s="274" t="s">
        <v>1685</v>
      </c>
      <c r="U22" s="477">
        <v>0.51</v>
      </c>
      <c r="V22" s="284">
        <f>Y22*0.075</f>
        <v>26.474999999999998</v>
      </c>
      <c r="W22" s="460" t="s">
        <v>1686</v>
      </c>
      <c r="X22" s="279">
        <v>9663</v>
      </c>
      <c r="Y22" s="460">
        <v>353</v>
      </c>
      <c r="Z22" s="271"/>
      <c r="AA22" s="271"/>
      <c r="AB22" s="284">
        <v>4.53</v>
      </c>
      <c r="AC22" s="274" t="s">
        <v>1326</v>
      </c>
      <c r="AD22" s="274"/>
    </row>
    <row r="23" spans="1:30" ht="45.75" customHeight="1">
      <c r="A23" s="298">
        <v>17</v>
      </c>
      <c r="B23" s="271" t="s">
        <v>1702</v>
      </c>
      <c r="C23" s="458" t="s">
        <v>1375</v>
      </c>
      <c r="D23" s="458" t="s">
        <v>1325</v>
      </c>
      <c r="E23" s="458"/>
      <c r="F23" s="458"/>
      <c r="G23" s="458"/>
      <c r="H23" s="458"/>
      <c r="I23" s="458"/>
      <c r="J23" s="458"/>
      <c r="K23" s="458"/>
      <c r="L23" s="458"/>
      <c r="M23" s="458"/>
      <c r="N23" s="458">
        <v>1</v>
      </c>
      <c r="O23" s="458">
        <v>300</v>
      </c>
      <c r="P23" s="458">
        <v>15</v>
      </c>
      <c r="Q23" s="458"/>
      <c r="R23" s="458"/>
      <c r="S23" s="458"/>
      <c r="T23" s="458"/>
      <c r="U23" s="458"/>
      <c r="V23" s="458"/>
      <c r="W23" s="458"/>
      <c r="X23" s="458"/>
      <c r="Y23" s="458"/>
      <c r="Z23" s="458"/>
      <c r="AA23" s="458"/>
      <c r="AB23" s="458">
        <f>400+15*20</f>
        <v>700</v>
      </c>
      <c r="AC23" s="274" t="s">
        <v>1703</v>
      </c>
      <c r="AD23" s="458"/>
    </row>
    <row r="24" spans="1:30" ht="45.75" customHeight="1">
      <c r="A24" s="298">
        <v>18</v>
      </c>
      <c r="B24" s="271" t="s">
        <v>1700</v>
      </c>
      <c r="C24" s="458" t="s">
        <v>1375</v>
      </c>
      <c r="D24" s="458" t="s">
        <v>1325</v>
      </c>
      <c r="E24" s="271"/>
      <c r="F24" s="271"/>
      <c r="G24" s="271"/>
      <c r="H24" s="271"/>
      <c r="I24" s="271"/>
      <c r="J24" s="271"/>
      <c r="K24" s="271"/>
      <c r="L24" s="271"/>
      <c r="M24" s="271"/>
      <c r="N24" s="458">
        <v>2</v>
      </c>
      <c r="O24" s="458">
        <v>185</v>
      </c>
      <c r="P24" s="271">
        <v>4</v>
      </c>
      <c r="Q24" s="271"/>
      <c r="R24" s="271"/>
      <c r="S24" s="271"/>
      <c r="T24" s="298"/>
      <c r="U24" s="271"/>
      <c r="V24" s="271"/>
      <c r="W24" s="271"/>
      <c r="X24" s="271"/>
      <c r="Y24" s="271"/>
      <c r="Z24" s="271"/>
      <c r="AA24" s="271"/>
      <c r="AB24" s="271">
        <v>60</v>
      </c>
      <c r="AC24" s="274" t="s">
        <v>1701</v>
      </c>
      <c r="AD24" s="298"/>
    </row>
    <row r="25" spans="1:30" ht="45.75" customHeight="1">
      <c r="A25" s="298">
        <v>19</v>
      </c>
      <c r="B25" s="630" t="s">
        <v>2578</v>
      </c>
      <c r="C25" s="458" t="s">
        <v>1375</v>
      </c>
      <c r="D25" s="458" t="s">
        <v>39</v>
      </c>
      <c r="E25" s="271"/>
      <c r="F25" s="271"/>
      <c r="G25" s="271"/>
      <c r="H25" s="271"/>
      <c r="I25" s="271"/>
      <c r="J25" s="271"/>
      <c r="K25" s="271"/>
      <c r="L25" s="271"/>
      <c r="M25" s="271"/>
      <c r="N25" s="458"/>
      <c r="O25" s="458"/>
      <c r="P25" s="271"/>
      <c r="Q25" s="271">
        <v>1.8</v>
      </c>
      <c r="R25" s="459" t="s">
        <v>570</v>
      </c>
      <c r="S25" s="459">
        <v>2500</v>
      </c>
      <c r="T25" s="459" t="s">
        <v>571</v>
      </c>
      <c r="U25" s="271">
        <v>2.3</v>
      </c>
      <c r="V25" s="459">
        <v>2500</v>
      </c>
      <c r="W25" s="630" t="s">
        <v>2579</v>
      </c>
      <c r="X25" s="271">
        <v>2500</v>
      </c>
      <c r="Y25" s="271">
        <v>1100</v>
      </c>
      <c r="Z25" s="271">
        <v>1300</v>
      </c>
      <c r="AA25" s="271"/>
      <c r="AB25" s="271">
        <v>510</v>
      </c>
      <c r="AC25" s="274" t="s">
        <v>572</v>
      </c>
      <c r="AD25" s="298"/>
    </row>
    <row r="26" spans="1:30" s="461" customFormat="1" ht="45.75" customHeight="1">
      <c r="A26" s="298">
        <v>20</v>
      </c>
      <c r="B26" s="271" t="s">
        <v>569</v>
      </c>
      <c r="C26" s="458" t="s">
        <v>1375</v>
      </c>
      <c r="D26" s="458" t="s">
        <v>1325</v>
      </c>
      <c r="E26" s="459"/>
      <c r="F26" s="459"/>
      <c r="G26" s="459"/>
      <c r="H26" s="459"/>
      <c r="I26" s="459"/>
      <c r="J26" s="459"/>
      <c r="K26" s="459"/>
      <c r="L26" s="459"/>
      <c r="M26" s="459"/>
      <c r="N26" s="459"/>
      <c r="O26" s="459"/>
      <c r="P26" s="459"/>
      <c r="Q26" s="459">
        <v>2.1</v>
      </c>
      <c r="R26" s="459" t="s">
        <v>570</v>
      </c>
      <c r="S26" s="459">
        <v>3000</v>
      </c>
      <c r="T26" s="459" t="s">
        <v>571</v>
      </c>
      <c r="U26" s="459">
        <v>5</v>
      </c>
      <c r="V26" s="459">
        <v>3000</v>
      </c>
      <c r="W26" s="460" t="s">
        <v>568</v>
      </c>
      <c r="X26" s="459">
        <v>3000</v>
      </c>
      <c r="Y26" s="459">
        <v>3895</v>
      </c>
      <c r="Z26" s="459">
        <v>4000</v>
      </c>
      <c r="AA26" s="459"/>
      <c r="AB26" s="459">
        <v>1000</v>
      </c>
      <c r="AC26" s="274" t="s">
        <v>572</v>
      </c>
      <c r="AD26" s="459"/>
    </row>
    <row r="27" spans="1:29" ht="45.75" customHeight="1">
      <c r="A27" s="298">
        <v>21</v>
      </c>
      <c r="B27" s="663" t="s">
        <v>2640</v>
      </c>
      <c r="C27" s="458" t="s">
        <v>1375</v>
      </c>
      <c r="D27" s="458" t="s">
        <v>39</v>
      </c>
      <c r="E27" s="459"/>
      <c r="F27" s="3"/>
      <c r="G27" s="459"/>
      <c r="H27" s="459"/>
      <c r="I27" s="459"/>
      <c r="J27" s="459"/>
      <c r="K27" s="459"/>
      <c r="L27" s="459"/>
      <c r="M27" s="459"/>
      <c r="N27" s="459"/>
      <c r="O27" s="459"/>
      <c r="P27" s="459"/>
      <c r="Q27" s="459">
        <v>4.5</v>
      </c>
      <c r="R27" s="459" t="s">
        <v>570</v>
      </c>
      <c r="S27" s="459">
        <v>375</v>
      </c>
      <c r="T27" s="459" t="s">
        <v>571</v>
      </c>
      <c r="U27" s="459"/>
      <c r="V27" s="459">
        <v>375</v>
      </c>
      <c r="W27" s="271" t="s">
        <v>2641</v>
      </c>
      <c r="X27" s="459">
        <v>136875</v>
      </c>
      <c r="Y27" s="459">
        <v>5000</v>
      </c>
      <c r="Z27" s="459"/>
      <c r="AA27" s="459"/>
      <c r="AB27" s="459">
        <v>1300</v>
      </c>
      <c r="AC27" s="274" t="s">
        <v>572</v>
      </c>
    </row>
  </sheetData>
  <sheetProtection/>
  <mergeCells count="27">
    <mergeCell ref="A1:AD1"/>
    <mergeCell ref="A2:A4"/>
    <mergeCell ref="B2:B4"/>
    <mergeCell ref="C2:C4"/>
    <mergeCell ref="D2:D4"/>
    <mergeCell ref="E2:L2"/>
    <mergeCell ref="M2:P2"/>
    <mergeCell ref="Q2:S2"/>
    <mergeCell ref="T2:V2"/>
    <mergeCell ref="W2:AA2"/>
    <mergeCell ref="AB2:AB4"/>
    <mergeCell ref="AC2:AC4"/>
    <mergeCell ref="AD2:AD4"/>
    <mergeCell ref="E3:E4"/>
    <mergeCell ref="F3:F4"/>
    <mergeCell ref="G3:G4"/>
    <mergeCell ref="H3:J3"/>
    <mergeCell ref="K3:K4"/>
    <mergeCell ref="L3:L4"/>
    <mergeCell ref="M3:M4"/>
    <mergeCell ref="AA3:AA4"/>
    <mergeCell ref="R3:R4"/>
    <mergeCell ref="T3:T4"/>
    <mergeCell ref="W3:W4"/>
    <mergeCell ref="X3:X4"/>
    <mergeCell ref="Y3:Y4"/>
    <mergeCell ref="Z3:Z4"/>
  </mergeCells>
  <conditionalFormatting sqref="A2:A4 AC2:AD4 B2:D2">
    <cfRule type="cellIs" priority="1" dxfId="6" operator="equal" stopIfTrue="1">
      <formula>0</formula>
    </cfRule>
  </conditionalFormatting>
  <printOptions horizontalCentered="1"/>
  <pageMargins left="0.15748031496062992" right="0.15748031496062992" top="0.6692913385826772" bottom="0.2755905511811024" header="0.31496062992125984" footer="0.31496062992125984"/>
  <pageSetup horizontalDpi="600" verticalDpi="600" orientation="landscape" paperSize="8" scale="85" r:id="rId1"/>
  <headerFooter>
    <oddFooter>&amp;C第 &amp;P 页，共 &amp;N 页</oddFooter>
  </headerFooter>
</worksheet>
</file>

<file path=xl/worksheets/sheet22.xml><?xml version="1.0" encoding="utf-8"?>
<worksheet xmlns="http://schemas.openxmlformats.org/spreadsheetml/2006/main" xmlns:r="http://schemas.openxmlformats.org/officeDocument/2006/relationships">
  <sheetPr>
    <tabColor rgb="FFFF0000"/>
  </sheetPr>
  <dimension ref="A1:U9"/>
  <sheetViews>
    <sheetView zoomScalePageLayoutView="0" workbookViewId="0" topLeftCell="A1">
      <selection activeCell="K21" sqref="K21"/>
    </sheetView>
  </sheetViews>
  <sheetFormatPr defaultColWidth="9.00390625" defaultRowHeight="13.5"/>
  <cols>
    <col min="1" max="1" width="5.125" style="0" customWidth="1"/>
    <col min="2" max="2" width="6.00390625" style="0" customWidth="1"/>
    <col min="3" max="3" width="7.50390625" style="0" customWidth="1"/>
    <col min="4" max="4" width="6.00390625" style="0" customWidth="1"/>
    <col min="6" max="7" width="7.625" style="0" customWidth="1"/>
    <col min="8" max="10" width="6.50390625" style="0" customWidth="1"/>
    <col min="11" max="20" width="5.375" style="0" customWidth="1"/>
  </cols>
  <sheetData>
    <row r="1" spans="1:21" ht="20.25">
      <c r="A1" s="901" t="s">
        <v>1286</v>
      </c>
      <c r="B1" s="901"/>
      <c r="C1" s="901"/>
      <c r="D1" s="902"/>
      <c r="E1" s="902"/>
      <c r="F1" s="902"/>
      <c r="G1" s="902"/>
      <c r="H1" s="902"/>
      <c r="I1" s="902"/>
      <c r="J1" s="902"/>
      <c r="K1" s="902"/>
      <c r="L1" s="902"/>
      <c r="M1" s="902"/>
      <c r="N1" s="902"/>
      <c r="O1" s="902"/>
      <c r="P1" s="902"/>
      <c r="Q1" s="902"/>
      <c r="R1" s="902"/>
      <c r="S1" s="902"/>
      <c r="T1" s="902"/>
      <c r="U1" s="902"/>
    </row>
    <row r="2" spans="1:21" ht="13.5">
      <c r="A2" s="903" t="s">
        <v>646</v>
      </c>
      <c r="B2" s="903" t="s">
        <v>1266</v>
      </c>
      <c r="C2" s="903" t="s">
        <v>1211</v>
      </c>
      <c r="D2" s="905" t="s">
        <v>1267</v>
      </c>
      <c r="E2" s="906" t="s">
        <v>1268</v>
      </c>
      <c r="F2" s="907"/>
      <c r="G2" s="907"/>
      <c r="H2" s="907"/>
      <c r="I2" s="907"/>
      <c r="J2" s="908"/>
      <c r="K2" s="903" t="s">
        <v>1269</v>
      </c>
      <c r="L2" s="903"/>
      <c r="M2" s="903"/>
      <c r="N2" s="903"/>
      <c r="O2" s="903"/>
      <c r="P2" s="903"/>
      <c r="Q2" s="903"/>
      <c r="R2" s="903"/>
      <c r="S2" s="903"/>
      <c r="T2" s="903"/>
      <c r="U2" s="905" t="s">
        <v>693</v>
      </c>
    </row>
    <row r="3" spans="1:21" ht="60">
      <c r="A3" s="904"/>
      <c r="B3" s="904"/>
      <c r="C3" s="904"/>
      <c r="D3" s="903"/>
      <c r="E3" s="57" t="s">
        <v>1270</v>
      </c>
      <c r="F3" s="57" t="s">
        <v>1271</v>
      </c>
      <c r="G3" s="57" t="s">
        <v>1272</v>
      </c>
      <c r="H3" s="57" t="s">
        <v>1273</v>
      </c>
      <c r="I3" s="57" t="s">
        <v>1274</v>
      </c>
      <c r="J3" s="629" t="s">
        <v>2577</v>
      </c>
      <c r="K3" s="57" t="s">
        <v>1275</v>
      </c>
      <c r="L3" s="57" t="s">
        <v>1276</v>
      </c>
      <c r="M3" s="57" t="s">
        <v>1277</v>
      </c>
      <c r="N3" s="57" t="s">
        <v>1278</v>
      </c>
      <c r="O3" s="57" t="s">
        <v>1279</v>
      </c>
      <c r="P3" s="57" t="s">
        <v>1280</v>
      </c>
      <c r="Q3" s="57" t="s">
        <v>1281</v>
      </c>
      <c r="R3" s="57" t="s">
        <v>1282</v>
      </c>
      <c r="S3" s="57" t="s">
        <v>1283</v>
      </c>
      <c r="T3" s="57" t="s">
        <v>1284</v>
      </c>
      <c r="U3" s="905"/>
    </row>
    <row r="4" spans="1:21" ht="13.5">
      <c r="A4" s="91"/>
      <c r="B4" s="91"/>
      <c r="C4" s="120" t="s">
        <v>1747</v>
      </c>
      <c r="D4" s="90"/>
      <c r="E4" s="57">
        <f>SUM(E5:E9)</f>
        <v>3400</v>
      </c>
      <c r="F4" s="57">
        <f aca="true" t="shared" si="0" ref="F4:T4">SUM(F5:F9)</f>
        <v>1900</v>
      </c>
      <c r="G4" s="57">
        <f t="shared" si="0"/>
        <v>1.55</v>
      </c>
      <c r="H4" s="57">
        <f t="shared" si="0"/>
        <v>0</v>
      </c>
      <c r="I4" s="57">
        <f t="shared" si="0"/>
        <v>0</v>
      </c>
      <c r="J4" s="57">
        <f t="shared" si="0"/>
        <v>589</v>
      </c>
      <c r="K4" s="57">
        <f t="shared" si="0"/>
        <v>22</v>
      </c>
      <c r="L4" s="57">
        <f t="shared" si="0"/>
        <v>12</v>
      </c>
      <c r="M4" s="57">
        <f t="shared" si="0"/>
        <v>5</v>
      </c>
      <c r="N4" s="57">
        <f t="shared" si="0"/>
        <v>5</v>
      </c>
      <c r="O4" s="57">
        <f t="shared" si="0"/>
        <v>0</v>
      </c>
      <c r="P4" s="57">
        <f t="shared" si="0"/>
        <v>7</v>
      </c>
      <c r="Q4" s="57">
        <f t="shared" si="0"/>
        <v>13</v>
      </c>
      <c r="R4" s="57">
        <f t="shared" si="0"/>
        <v>5</v>
      </c>
      <c r="S4" s="57">
        <f t="shared" si="0"/>
        <v>5</v>
      </c>
      <c r="T4" s="57">
        <f t="shared" si="0"/>
        <v>28</v>
      </c>
      <c r="U4" s="57"/>
    </row>
    <row r="5" spans="1:21" ht="13.5">
      <c r="A5" s="58">
        <v>1</v>
      </c>
      <c r="B5" s="70" t="s">
        <v>751</v>
      </c>
      <c r="C5" s="70" t="s">
        <v>718</v>
      </c>
      <c r="D5" s="70" t="s">
        <v>729</v>
      </c>
      <c r="E5" s="70">
        <v>800</v>
      </c>
      <c r="F5" s="70">
        <v>500</v>
      </c>
      <c r="G5" s="70">
        <v>0.31</v>
      </c>
      <c r="H5" s="70"/>
      <c r="I5" s="70"/>
      <c r="J5" s="70">
        <v>155</v>
      </c>
      <c r="K5" s="70">
        <v>8</v>
      </c>
      <c r="L5" s="70">
        <v>2</v>
      </c>
      <c r="M5" s="70">
        <v>1</v>
      </c>
      <c r="N5" s="70">
        <v>1</v>
      </c>
      <c r="O5" s="70"/>
      <c r="P5" s="70">
        <v>3</v>
      </c>
      <c r="Q5" s="70">
        <v>5</v>
      </c>
      <c r="R5" s="70">
        <v>1</v>
      </c>
      <c r="S5" s="70">
        <v>1</v>
      </c>
      <c r="T5" s="70">
        <v>9</v>
      </c>
      <c r="U5" s="70" t="s">
        <v>1285</v>
      </c>
    </row>
    <row r="6" spans="1:21" ht="13.5">
      <c r="A6" s="58">
        <v>2</v>
      </c>
      <c r="B6" s="58" t="s">
        <v>751</v>
      </c>
      <c r="C6" s="58" t="s">
        <v>718</v>
      </c>
      <c r="D6" s="58" t="s">
        <v>1054</v>
      </c>
      <c r="E6" s="58">
        <v>650</v>
      </c>
      <c r="F6" s="58">
        <v>350</v>
      </c>
      <c r="G6" s="58">
        <v>0.31</v>
      </c>
      <c r="H6" s="58"/>
      <c r="I6" s="58"/>
      <c r="J6" s="58">
        <v>108.5</v>
      </c>
      <c r="K6" s="58">
        <v>3</v>
      </c>
      <c r="L6" s="58">
        <v>3</v>
      </c>
      <c r="M6" s="58">
        <v>1</v>
      </c>
      <c r="N6" s="58">
        <v>1</v>
      </c>
      <c r="O6" s="58"/>
      <c r="P6" s="58">
        <v>1</v>
      </c>
      <c r="Q6" s="58">
        <v>2</v>
      </c>
      <c r="R6" s="58">
        <v>1</v>
      </c>
      <c r="S6" s="58">
        <v>1</v>
      </c>
      <c r="T6" s="58">
        <v>5</v>
      </c>
      <c r="U6" s="58" t="s">
        <v>1285</v>
      </c>
    </row>
    <row r="7" spans="1:21" ht="13.5">
      <c r="A7" s="58">
        <v>3</v>
      </c>
      <c r="B7" s="58" t="s">
        <v>751</v>
      </c>
      <c r="C7" s="58" t="s">
        <v>718</v>
      </c>
      <c r="D7" s="58" t="s">
        <v>1064</v>
      </c>
      <c r="E7" s="58">
        <v>650</v>
      </c>
      <c r="F7" s="58">
        <v>350</v>
      </c>
      <c r="G7" s="58">
        <v>0.31</v>
      </c>
      <c r="H7" s="58"/>
      <c r="I7" s="58"/>
      <c r="J7" s="58">
        <v>108.5</v>
      </c>
      <c r="K7" s="58">
        <v>3</v>
      </c>
      <c r="L7" s="58">
        <v>3</v>
      </c>
      <c r="M7" s="58">
        <v>1</v>
      </c>
      <c r="N7" s="58">
        <v>1</v>
      </c>
      <c r="O7" s="58"/>
      <c r="P7" s="58">
        <v>1</v>
      </c>
      <c r="Q7" s="58">
        <v>2</v>
      </c>
      <c r="R7" s="58">
        <v>1</v>
      </c>
      <c r="S7" s="58">
        <v>1</v>
      </c>
      <c r="T7" s="58">
        <v>4</v>
      </c>
      <c r="U7" s="58" t="s">
        <v>1285</v>
      </c>
    </row>
    <row r="8" spans="1:21" ht="13.5">
      <c r="A8" s="58">
        <v>4</v>
      </c>
      <c r="B8" s="58" t="s">
        <v>751</v>
      </c>
      <c r="C8" s="58" t="s">
        <v>718</v>
      </c>
      <c r="D8" s="58" t="s">
        <v>1060</v>
      </c>
      <c r="E8" s="58">
        <v>650</v>
      </c>
      <c r="F8" s="58">
        <v>350</v>
      </c>
      <c r="G8" s="58">
        <v>0.31</v>
      </c>
      <c r="H8" s="58"/>
      <c r="I8" s="58"/>
      <c r="J8" s="58">
        <v>108.5</v>
      </c>
      <c r="K8" s="58">
        <v>5</v>
      </c>
      <c r="L8" s="58">
        <v>2</v>
      </c>
      <c r="M8" s="58">
        <v>1</v>
      </c>
      <c r="N8" s="58">
        <v>1</v>
      </c>
      <c r="O8" s="58"/>
      <c r="P8" s="58">
        <v>1</v>
      </c>
      <c r="Q8" s="58">
        <v>2</v>
      </c>
      <c r="R8" s="58">
        <v>1</v>
      </c>
      <c r="S8" s="58">
        <v>1</v>
      </c>
      <c r="T8" s="58">
        <v>5</v>
      </c>
      <c r="U8" s="58" t="s">
        <v>1285</v>
      </c>
    </row>
    <row r="9" spans="1:21" ht="13.5">
      <c r="A9" s="58">
        <v>5</v>
      </c>
      <c r="B9" s="70" t="s">
        <v>751</v>
      </c>
      <c r="C9" s="70" t="s">
        <v>718</v>
      </c>
      <c r="D9" s="70" t="s">
        <v>1066</v>
      </c>
      <c r="E9" s="70">
        <v>650</v>
      </c>
      <c r="F9" s="70">
        <v>350</v>
      </c>
      <c r="G9" s="70">
        <v>0.31</v>
      </c>
      <c r="H9" s="70"/>
      <c r="I9" s="70"/>
      <c r="J9" s="70">
        <v>108.5</v>
      </c>
      <c r="K9" s="70">
        <v>3</v>
      </c>
      <c r="L9" s="70">
        <v>2</v>
      </c>
      <c r="M9" s="70">
        <v>1</v>
      </c>
      <c r="N9" s="70">
        <v>1</v>
      </c>
      <c r="O9" s="70"/>
      <c r="P9" s="70">
        <v>1</v>
      </c>
      <c r="Q9" s="70">
        <v>2</v>
      </c>
      <c r="R9" s="70">
        <v>1</v>
      </c>
      <c r="S9" s="70">
        <v>1</v>
      </c>
      <c r="T9" s="70">
        <v>5</v>
      </c>
      <c r="U9" s="58" t="s">
        <v>1285</v>
      </c>
    </row>
  </sheetData>
  <sheetProtection/>
  <mergeCells count="8">
    <mergeCell ref="A1:U1"/>
    <mergeCell ref="A2:A3"/>
    <mergeCell ref="B2:B3"/>
    <mergeCell ref="C2:C3"/>
    <mergeCell ref="D2:D3"/>
    <mergeCell ref="E2:J2"/>
    <mergeCell ref="K2:T2"/>
    <mergeCell ref="U2:U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FF0000"/>
  </sheetPr>
  <dimension ref="A1:N48"/>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K12" sqref="K12"/>
    </sheetView>
  </sheetViews>
  <sheetFormatPr defaultColWidth="9.00390625" defaultRowHeight="13.5"/>
  <cols>
    <col min="1" max="2" width="5.25390625" style="156" customWidth="1"/>
    <col min="3" max="3" width="4.625" style="156" customWidth="1"/>
    <col min="4" max="4" width="8.125" style="156" customWidth="1"/>
    <col min="5" max="5" width="7.875" style="156" customWidth="1"/>
    <col min="6" max="6" width="7.50390625" style="156" customWidth="1"/>
    <col min="7" max="7" width="6.00390625" style="156" customWidth="1"/>
    <col min="8" max="8" width="6.375" style="156" customWidth="1"/>
    <col min="9" max="9" width="15.50390625" style="156" hidden="1" customWidth="1"/>
    <col min="10" max="11" width="4.50390625" style="156" customWidth="1"/>
    <col min="12" max="12" width="14.125" style="156" customWidth="1"/>
    <col min="13" max="13" width="7.50390625" style="156" customWidth="1"/>
    <col min="14" max="14" width="5.625" style="156" customWidth="1"/>
    <col min="15" max="16384" width="9.00390625" style="156" customWidth="1"/>
  </cols>
  <sheetData>
    <row r="1" spans="1:14" ht="18.75">
      <c r="A1" s="912" t="s">
        <v>1287</v>
      </c>
      <c r="B1" s="912"/>
      <c r="C1" s="912"/>
      <c r="D1" s="912"/>
      <c r="E1" s="912"/>
      <c r="F1" s="912"/>
      <c r="G1" s="912"/>
      <c r="H1" s="912"/>
      <c r="I1" s="912"/>
      <c r="J1" s="912"/>
      <c r="K1" s="912"/>
      <c r="L1" s="912"/>
      <c r="M1" s="912"/>
      <c r="N1" s="912"/>
    </row>
    <row r="2" spans="1:14" ht="18.75" customHeight="1">
      <c r="A2" s="909" t="s">
        <v>640</v>
      </c>
      <c r="B2" s="909" t="s">
        <v>1172</v>
      </c>
      <c r="C2" s="909" t="s">
        <v>646</v>
      </c>
      <c r="D2" s="909" t="s">
        <v>1173</v>
      </c>
      <c r="E2" s="910" t="s">
        <v>1174</v>
      </c>
      <c r="F2" s="910" t="s">
        <v>1175</v>
      </c>
      <c r="G2" s="910" t="s">
        <v>1176</v>
      </c>
      <c r="H2" s="909" t="s">
        <v>1177</v>
      </c>
      <c r="I2" s="909" t="s">
        <v>1178</v>
      </c>
      <c r="J2" s="909" t="s">
        <v>1179</v>
      </c>
      <c r="K2" s="910" t="s">
        <v>1180</v>
      </c>
      <c r="L2" s="910" t="s">
        <v>1181</v>
      </c>
      <c r="M2" s="910" t="s">
        <v>1860</v>
      </c>
      <c r="N2" s="909" t="s">
        <v>693</v>
      </c>
    </row>
    <row r="3" spans="1:14" ht="18.75" customHeight="1">
      <c r="A3" s="909"/>
      <c r="B3" s="909"/>
      <c r="C3" s="909"/>
      <c r="D3" s="909"/>
      <c r="E3" s="911"/>
      <c r="F3" s="911"/>
      <c r="G3" s="911"/>
      <c r="H3" s="909"/>
      <c r="I3" s="909"/>
      <c r="J3" s="909"/>
      <c r="K3" s="911"/>
      <c r="L3" s="911"/>
      <c r="M3" s="911"/>
      <c r="N3" s="909"/>
    </row>
    <row r="4" spans="1:14" ht="13.5">
      <c r="A4" s="131" t="s">
        <v>1182</v>
      </c>
      <c r="B4" s="131" t="s">
        <v>1183</v>
      </c>
      <c r="C4" s="106"/>
      <c r="D4" s="126"/>
      <c r="E4" s="126"/>
      <c r="F4" s="126"/>
      <c r="G4" s="126"/>
      <c r="H4" s="106"/>
      <c r="I4" s="106"/>
      <c r="J4" s="106"/>
      <c r="K4" s="126"/>
      <c r="L4" s="126"/>
      <c r="M4" s="126">
        <f>SUM(M5:M48)</f>
        <v>564</v>
      </c>
      <c r="N4" s="106"/>
    </row>
    <row r="5" spans="1:14" ht="15" customHeight="1">
      <c r="A5" s="151"/>
      <c r="B5" s="151"/>
      <c r="C5" s="129">
        <v>1</v>
      </c>
      <c r="D5" s="130" t="s">
        <v>1184</v>
      </c>
      <c r="E5" s="130" t="s">
        <v>1170</v>
      </c>
      <c r="F5" s="130" t="s">
        <v>1171</v>
      </c>
      <c r="G5" s="130" t="s">
        <v>1168</v>
      </c>
      <c r="H5" s="131" t="s">
        <v>1795</v>
      </c>
      <c r="I5" s="131" t="s">
        <v>1796</v>
      </c>
      <c r="J5" s="129"/>
      <c r="K5" s="130"/>
      <c r="L5" s="132" t="s">
        <v>1186</v>
      </c>
      <c r="M5" s="131">
        <v>3</v>
      </c>
      <c r="N5" s="129" t="s">
        <v>1797</v>
      </c>
    </row>
    <row r="6" spans="1:14" ht="15" customHeight="1">
      <c r="A6" s="131"/>
      <c r="B6" s="129"/>
      <c r="C6" s="129">
        <v>2</v>
      </c>
      <c r="D6" s="130" t="s">
        <v>1798</v>
      </c>
      <c r="E6" s="130" t="s">
        <v>1170</v>
      </c>
      <c r="F6" s="130" t="s">
        <v>1171</v>
      </c>
      <c r="G6" s="130" t="s">
        <v>1168</v>
      </c>
      <c r="H6" s="131" t="s">
        <v>1799</v>
      </c>
      <c r="I6" s="131" t="s">
        <v>1800</v>
      </c>
      <c r="J6" s="129"/>
      <c r="K6" s="130"/>
      <c r="L6" s="132" t="s">
        <v>1188</v>
      </c>
      <c r="M6" s="131">
        <v>3</v>
      </c>
      <c r="N6" s="129" t="s">
        <v>1797</v>
      </c>
    </row>
    <row r="7" spans="1:14" ht="15" customHeight="1">
      <c r="A7" s="131"/>
      <c r="B7" s="129"/>
      <c r="C7" s="129">
        <v>3</v>
      </c>
      <c r="D7" s="130" t="s">
        <v>1801</v>
      </c>
      <c r="E7" s="130" t="s">
        <v>1170</v>
      </c>
      <c r="F7" s="130" t="s">
        <v>1171</v>
      </c>
      <c r="G7" s="130" t="s">
        <v>1168</v>
      </c>
      <c r="H7" s="131" t="s">
        <v>1799</v>
      </c>
      <c r="I7" s="131" t="s">
        <v>1802</v>
      </c>
      <c r="J7" s="129"/>
      <c r="K7" s="130"/>
      <c r="L7" s="132" t="s">
        <v>1189</v>
      </c>
      <c r="M7" s="131">
        <v>3</v>
      </c>
      <c r="N7" s="129" t="s">
        <v>1797</v>
      </c>
    </row>
    <row r="8" spans="1:14" ht="15" customHeight="1">
      <c r="A8" s="131"/>
      <c r="B8" s="129"/>
      <c r="C8" s="129">
        <v>4</v>
      </c>
      <c r="D8" s="130" t="s">
        <v>1795</v>
      </c>
      <c r="E8" s="130" t="s">
        <v>1170</v>
      </c>
      <c r="F8" s="130" t="s">
        <v>1171</v>
      </c>
      <c r="G8" s="130" t="s">
        <v>1168</v>
      </c>
      <c r="H8" s="131" t="s">
        <v>1795</v>
      </c>
      <c r="I8" s="131" t="s">
        <v>1803</v>
      </c>
      <c r="J8" s="129"/>
      <c r="K8" s="130"/>
      <c r="L8" s="132" t="s">
        <v>1190</v>
      </c>
      <c r="M8" s="131">
        <v>3</v>
      </c>
      <c r="N8" s="129" t="s">
        <v>1797</v>
      </c>
    </row>
    <row r="9" spans="1:14" ht="15" customHeight="1">
      <c r="A9" s="131"/>
      <c r="B9" s="129"/>
      <c r="C9" s="129">
        <v>5</v>
      </c>
      <c r="D9" s="130" t="s">
        <v>1804</v>
      </c>
      <c r="E9" s="130" t="s">
        <v>1170</v>
      </c>
      <c r="F9" s="130" t="s">
        <v>1171</v>
      </c>
      <c r="G9" s="130" t="s">
        <v>1168</v>
      </c>
      <c r="H9" s="131" t="s">
        <v>1799</v>
      </c>
      <c r="I9" s="131" t="s">
        <v>1805</v>
      </c>
      <c r="J9" s="129"/>
      <c r="K9" s="130"/>
      <c r="L9" s="132" t="s">
        <v>1191</v>
      </c>
      <c r="M9" s="131">
        <v>3</v>
      </c>
      <c r="N9" s="129" t="s">
        <v>1797</v>
      </c>
    </row>
    <row r="10" spans="1:14" ht="15" customHeight="1">
      <c r="A10" s="132"/>
      <c r="B10" s="132"/>
      <c r="C10" s="129">
        <v>6</v>
      </c>
      <c r="D10" s="130" t="s">
        <v>1806</v>
      </c>
      <c r="E10" s="130" t="s">
        <v>1170</v>
      </c>
      <c r="F10" s="130" t="s">
        <v>1171</v>
      </c>
      <c r="G10" s="130" t="s">
        <v>1168</v>
      </c>
      <c r="H10" s="131" t="s">
        <v>1807</v>
      </c>
      <c r="I10" s="131" t="s">
        <v>1808</v>
      </c>
      <c r="J10" s="129"/>
      <c r="K10" s="130"/>
      <c r="L10" s="132" t="s">
        <v>1192</v>
      </c>
      <c r="M10" s="131">
        <v>3</v>
      </c>
      <c r="N10" s="129" t="s">
        <v>1797</v>
      </c>
    </row>
    <row r="11" spans="1:14" ht="15" customHeight="1">
      <c r="A11" s="131"/>
      <c r="B11" s="129"/>
      <c r="C11" s="129">
        <v>7</v>
      </c>
      <c r="D11" s="130" t="s">
        <v>1193</v>
      </c>
      <c r="E11" s="130" t="s">
        <v>1170</v>
      </c>
      <c r="F11" s="130" t="s">
        <v>1171</v>
      </c>
      <c r="G11" s="130" t="s">
        <v>1168</v>
      </c>
      <c r="H11" s="131" t="s">
        <v>1809</v>
      </c>
      <c r="I11" s="131" t="s">
        <v>1810</v>
      </c>
      <c r="J11" s="129"/>
      <c r="K11" s="130"/>
      <c r="L11" s="132" t="s">
        <v>1193</v>
      </c>
      <c r="M11" s="131">
        <v>3</v>
      </c>
      <c r="N11" s="129" t="s">
        <v>1811</v>
      </c>
    </row>
    <row r="12" spans="1:14" ht="15" customHeight="1">
      <c r="A12" s="133"/>
      <c r="B12" s="130"/>
      <c r="C12" s="129">
        <v>8</v>
      </c>
      <c r="D12" s="130" t="s">
        <v>1812</v>
      </c>
      <c r="E12" s="130" t="s">
        <v>1170</v>
      </c>
      <c r="F12" s="130" t="s">
        <v>1171</v>
      </c>
      <c r="G12" s="130" t="s">
        <v>1168</v>
      </c>
      <c r="H12" s="131" t="s">
        <v>1799</v>
      </c>
      <c r="I12" s="131" t="s">
        <v>1813</v>
      </c>
      <c r="J12" s="129"/>
      <c r="K12" s="130"/>
      <c r="L12" s="132" t="s">
        <v>1194</v>
      </c>
      <c r="M12" s="131">
        <v>3</v>
      </c>
      <c r="N12" s="129" t="s">
        <v>1814</v>
      </c>
    </row>
    <row r="13" spans="1:14" ht="15" customHeight="1">
      <c r="A13" s="133"/>
      <c r="B13" s="130"/>
      <c r="C13" s="129">
        <v>9</v>
      </c>
      <c r="D13" s="130" t="s">
        <v>1815</v>
      </c>
      <c r="E13" s="130" t="s">
        <v>1170</v>
      </c>
      <c r="F13" s="130" t="s">
        <v>1171</v>
      </c>
      <c r="G13" s="130" t="s">
        <v>1168</v>
      </c>
      <c r="H13" s="131" t="s">
        <v>1816</v>
      </c>
      <c r="I13" s="131" t="s">
        <v>1817</v>
      </c>
      <c r="J13" s="129"/>
      <c r="K13" s="130"/>
      <c r="L13" s="132" t="s">
        <v>1195</v>
      </c>
      <c r="M13" s="131">
        <v>3</v>
      </c>
      <c r="N13" s="129" t="s">
        <v>1797</v>
      </c>
    </row>
    <row r="14" spans="1:14" ht="15" customHeight="1">
      <c r="A14" s="132"/>
      <c r="B14" s="132"/>
      <c r="C14" s="129">
        <v>10</v>
      </c>
      <c r="D14" s="130" t="s">
        <v>1818</v>
      </c>
      <c r="E14" s="130" t="s">
        <v>1170</v>
      </c>
      <c r="F14" s="130" t="s">
        <v>1171</v>
      </c>
      <c r="G14" s="130" t="s">
        <v>1168</v>
      </c>
      <c r="H14" s="131" t="s">
        <v>1816</v>
      </c>
      <c r="I14" s="131" t="s">
        <v>1819</v>
      </c>
      <c r="J14" s="132"/>
      <c r="K14" s="132"/>
      <c r="L14" s="132" t="s">
        <v>1196</v>
      </c>
      <c r="M14" s="131">
        <v>3</v>
      </c>
      <c r="N14" s="129" t="s">
        <v>1820</v>
      </c>
    </row>
    <row r="15" spans="1:14" ht="15" customHeight="1">
      <c r="A15" s="132"/>
      <c r="B15" s="132"/>
      <c r="C15" s="129">
        <v>11</v>
      </c>
      <c r="D15" s="130" t="s">
        <v>1821</v>
      </c>
      <c r="E15" s="130" t="s">
        <v>1170</v>
      </c>
      <c r="F15" s="130" t="s">
        <v>1171</v>
      </c>
      <c r="G15" s="130" t="s">
        <v>1168</v>
      </c>
      <c r="H15" s="131" t="s">
        <v>1809</v>
      </c>
      <c r="I15" s="131" t="s">
        <v>1822</v>
      </c>
      <c r="J15" s="132"/>
      <c r="K15" s="132"/>
      <c r="L15" s="132" t="s">
        <v>1197</v>
      </c>
      <c r="M15" s="131">
        <v>3</v>
      </c>
      <c r="N15" s="129" t="s">
        <v>1823</v>
      </c>
    </row>
    <row r="16" spans="1:14" ht="15" customHeight="1">
      <c r="A16" s="132"/>
      <c r="B16" s="132"/>
      <c r="C16" s="129">
        <v>12</v>
      </c>
      <c r="D16" s="181" t="s">
        <v>1824</v>
      </c>
      <c r="E16" s="181" t="s">
        <v>1170</v>
      </c>
      <c r="F16" s="182" t="s">
        <v>1171</v>
      </c>
      <c r="G16" s="182" t="s">
        <v>1168</v>
      </c>
      <c r="H16" s="183" t="s">
        <v>1825</v>
      </c>
      <c r="I16" s="183" t="s">
        <v>1826</v>
      </c>
      <c r="J16" s="184"/>
      <c r="K16" s="184"/>
      <c r="L16" s="184" t="s">
        <v>1827</v>
      </c>
      <c r="M16" s="131">
        <v>3</v>
      </c>
      <c r="N16" s="181" t="s">
        <v>1828</v>
      </c>
    </row>
    <row r="17" spans="1:14" ht="15" customHeight="1">
      <c r="A17" s="132"/>
      <c r="B17" s="132"/>
      <c r="C17" s="129">
        <v>13</v>
      </c>
      <c r="D17" s="129" t="s">
        <v>1829</v>
      </c>
      <c r="E17" s="129" t="s">
        <v>1170</v>
      </c>
      <c r="F17" s="130" t="s">
        <v>1171</v>
      </c>
      <c r="G17" s="130" t="s">
        <v>1168</v>
      </c>
      <c r="H17" s="131" t="s">
        <v>1830</v>
      </c>
      <c r="I17" s="131" t="s">
        <v>1831</v>
      </c>
      <c r="J17" s="132"/>
      <c r="K17" s="132"/>
      <c r="L17" s="132" t="s">
        <v>1198</v>
      </c>
      <c r="M17" s="131">
        <v>3</v>
      </c>
      <c r="N17" s="129" t="s">
        <v>1797</v>
      </c>
    </row>
    <row r="18" spans="1:14" ht="15" customHeight="1">
      <c r="A18" s="132"/>
      <c r="B18" s="132"/>
      <c r="C18" s="129">
        <v>14</v>
      </c>
      <c r="D18" s="129" t="s">
        <v>1199</v>
      </c>
      <c r="E18" s="129" t="s">
        <v>1170</v>
      </c>
      <c r="F18" s="130" t="s">
        <v>1171</v>
      </c>
      <c r="G18" s="130" t="s">
        <v>1168</v>
      </c>
      <c r="H18" s="131" t="s">
        <v>1799</v>
      </c>
      <c r="I18" s="131" t="s">
        <v>1832</v>
      </c>
      <c r="J18" s="132"/>
      <c r="K18" s="132"/>
      <c r="L18" s="132" t="s">
        <v>1199</v>
      </c>
      <c r="M18" s="131">
        <v>3</v>
      </c>
      <c r="N18" s="129" t="s">
        <v>1833</v>
      </c>
    </row>
    <row r="19" spans="1:14" ht="15" customHeight="1">
      <c r="A19" s="132"/>
      <c r="B19" s="132"/>
      <c r="C19" s="129">
        <v>15</v>
      </c>
      <c r="D19" s="129" t="s">
        <v>1200</v>
      </c>
      <c r="E19" s="129" t="s">
        <v>1170</v>
      </c>
      <c r="F19" s="130" t="s">
        <v>1171</v>
      </c>
      <c r="G19" s="130" t="s">
        <v>1168</v>
      </c>
      <c r="H19" s="131" t="s">
        <v>1809</v>
      </c>
      <c r="I19" s="131" t="s">
        <v>1834</v>
      </c>
      <c r="J19" s="132"/>
      <c r="K19" s="132"/>
      <c r="L19" s="132" t="s">
        <v>1200</v>
      </c>
      <c r="M19" s="131">
        <v>3</v>
      </c>
      <c r="N19" s="129" t="s">
        <v>1797</v>
      </c>
    </row>
    <row r="20" spans="1:14" ht="15" customHeight="1">
      <c r="A20" s="132"/>
      <c r="B20" s="132"/>
      <c r="C20" s="129">
        <v>16</v>
      </c>
      <c r="D20" s="129" t="s">
        <v>1835</v>
      </c>
      <c r="E20" s="129" t="s">
        <v>1170</v>
      </c>
      <c r="F20" s="130" t="s">
        <v>1171</v>
      </c>
      <c r="G20" s="130" t="s">
        <v>1168</v>
      </c>
      <c r="H20" s="131" t="s">
        <v>1830</v>
      </c>
      <c r="I20" s="131" t="s">
        <v>1836</v>
      </c>
      <c r="J20" s="132"/>
      <c r="K20" s="132"/>
      <c r="L20" s="132" t="s">
        <v>1201</v>
      </c>
      <c r="M20" s="131">
        <v>3</v>
      </c>
      <c r="N20" s="129" t="s">
        <v>1797</v>
      </c>
    </row>
    <row r="21" spans="1:14" ht="15" customHeight="1">
      <c r="A21" s="132"/>
      <c r="B21" s="132"/>
      <c r="C21" s="129">
        <v>17</v>
      </c>
      <c r="D21" s="129" t="s">
        <v>1202</v>
      </c>
      <c r="E21" s="129" t="s">
        <v>1170</v>
      </c>
      <c r="F21" s="130" t="s">
        <v>1171</v>
      </c>
      <c r="G21" s="130" t="s">
        <v>1168</v>
      </c>
      <c r="H21" s="133" t="s">
        <v>1809</v>
      </c>
      <c r="I21" s="131" t="s">
        <v>1837</v>
      </c>
      <c r="J21" s="132"/>
      <c r="K21" s="132"/>
      <c r="L21" s="132" t="s">
        <v>1202</v>
      </c>
      <c r="M21" s="131">
        <v>3</v>
      </c>
      <c r="N21" s="129" t="s">
        <v>1797</v>
      </c>
    </row>
    <row r="22" spans="1:14" ht="15" customHeight="1">
      <c r="A22" s="132"/>
      <c r="B22" s="132"/>
      <c r="C22" s="129">
        <v>18</v>
      </c>
      <c r="D22" s="129" t="s">
        <v>1203</v>
      </c>
      <c r="E22" s="129" t="s">
        <v>1170</v>
      </c>
      <c r="F22" s="130" t="s">
        <v>1171</v>
      </c>
      <c r="G22" s="130" t="s">
        <v>1168</v>
      </c>
      <c r="H22" s="131" t="s">
        <v>1809</v>
      </c>
      <c r="I22" s="131" t="s">
        <v>1838</v>
      </c>
      <c r="J22" s="132"/>
      <c r="K22" s="132"/>
      <c r="L22" s="132" t="s">
        <v>1203</v>
      </c>
      <c r="M22" s="131">
        <v>3</v>
      </c>
      <c r="N22" s="129" t="s">
        <v>1833</v>
      </c>
    </row>
    <row r="23" spans="1:14" ht="15" customHeight="1">
      <c r="A23" s="132"/>
      <c r="B23" s="132"/>
      <c r="C23" s="129">
        <v>19</v>
      </c>
      <c r="D23" s="129" t="s">
        <v>1204</v>
      </c>
      <c r="E23" s="129" t="s">
        <v>1170</v>
      </c>
      <c r="F23" s="130" t="s">
        <v>1171</v>
      </c>
      <c r="G23" s="130" t="s">
        <v>1168</v>
      </c>
      <c r="H23" s="131" t="s">
        <v>1795</v>
      </c>
      <c r="I23" s="131" t="s">
        <v>1805</v>
      </c>
      <c r="J23" s="132"/>
      <c r="K23" s="132"/>
      <c r="L23" s="132" t="s">
        <v>1204</v>
      </c>
      <c r="M23" s="131">
        <v>3</v>
      </c>
      <c r="N23" s="129" t="s">
        <v>1823</v>
      </c>
    </row>
    <row r="24" spans="1:14" ht="13.5">
      <c r="A24" s="184"/>
      <c r="B24" s="184"/>
      <c r="C24" s="129">
        <v>20</v>
      </c>
      <c r="D24" s="181" t="s">
        <v>1839</v>
      </c>
      <c r="E24" s="181" t="s">
        <v>1170</v>
      </c>
      <c r="F24" s="182" t="s">
        <v>1171</v>
      </c>
      <c r="G24" s="182" t="s">
        <v>1168</v>
      </c>
      <c r="H24" s="183" t="s">
        <v>1825</v>
      </c>
      <c r="I24" s="183" t="s">
        <v>1840</v>
      </c>
      <c r="J24" s="184"/>
      <c r="K24" s="184"/>
      <c r="L24" s="184" t="s">
        <v>1841</v>
      </c>
      <c r="M24" s="131">
        <v>3</v>
      </c>
      <c r="N24" s="181" t="s">
        <v>1828</v>
      </c>
    </row>
    <row r="25" spans="1:14" ht="13.5">
      <c r="A25" s="132"/>
      <c r="B25" s="132"/>
      <c r="C25" s="129">
        <v>21</v>
      </c>
      <c r="D25" s="185" t="s">
        <v>1842</v>
      </c>
      <c r="E25" s="129" t="s">
        <v>1170</v>
      </c>
      <c r="F25" s="130" t="s">
        <v>1171</v>
      </c>
      <c r="G25" s="130" t="s">
        <v>1168</v>
      </c>
      <c r="H25" s="129" t="s">
        <v>1843</v>
      </c>
      <c r="I25" s="129" t="s">
        <v>1844</v>
      </c>
      <c r="J25" s="186"/>
      <c r="K25" s="186"/>
      <c r="L25" s="186" t="s">
        <v>1845</v>
      </c>
      <c r="M25" s="131">
        <v>3</v>
      </c>
      <c r="N25" s="129" t="s">
        <v>1828</v>
      </c>
    </row>
    <row r="26" spans="1:14" ht="13.5">
      <c r="A26" s="132"/>
      <c r="B26" s="132"/>
      <c r="C26" s="129">
        <v>22</v>
      </c>
      <c r="D26" s="185" t="s">
        <v>1846</v>
      </c>
      <c r="E26" s="129" t="s">
        <v>1170</v>
      </c>
      <c r="F26" s="130" t="s">
        <v>1171</v>
      </c>
      <c r="G26" s="130" t="s">
        <v>1168</v>
      </c>
      <c r="H26" s="129" t="s">
        <v>1843</v>
      </c>
      <c r="I26" s="129" t="s">
        <v>1847</v>
      </c>
      <c r="J26" s="186"/>
      <c r="K26" s="186"/>
      <c r="L26" s="186" t="s">
        <v>1845</v>
      </c>
      <c r="M26" s="131">
        <v>3</v>
      </c>
      <c r="N26" s="129" t="s">
        <v>1828</v>
      </c>
    </row>
    <row r="27" spans="1:14" ht="13.5">
      <c r="A27" s="132"/>
      <c r="B27" s="132"/>
      <c r="C27" s="129">
        <v>23</v>
      </c>
      <c r="D27" s="185" t="s">
        <v>1848</v>
      </c>
      <c r="E27" s="129" t="s">
        <v>1170</v>
      </c>
      <c r="F27" s="130" t="s">
        <v>1171</v>
      </c>
      <c r="G27" s="130" t="s">
        <v>1168</v>
      </c>
      <c r="H27" s="129" t="s">
        <v>1843</v>
      </c>
      <c r="I27" s="129" t="s">
        <v>1849</v>
      </c>
      <c r="J27" s="186"/>
      <c r="K27" s="186"/>
      <c r="L27" s="186" t="s">
        <v>1845</v>
      </c>
      <c r="M27" s="131">
        <v>3</v>
      </c>
      <c r="N27" s="129" t="s">
        <v>1828</v>
      </c>
    </row>
    <row r="28" spans="1:14" ht="13.5">
      <c r="A28" s="132"/>
      <c r="B28" s="132"/>
      <c r="C28" s="129">
        <v>24</v>
      </c>
      <c r="D28" s="185" t="s">
        <v>1850</v>
      </c>
      <c r="E28" s="129" t="s">
        <v>1170</v>
      </c>
      <c r="F28" s="130" t="s">
        <v>1171</v>
      </c>
      <c r="G28" s="130" t="s">
        <v>1168</v>
      </c>
      <c r="H28" s="129" t="s">
        <v>1843</v>
      </c>
      <c r="I28" s="129" t="s">
        <v>1851</v>
      </c>
      <c r="J28" s="186"/>
      <c r="K28" s="186"/>
      <c r="L28" s="186" t="s">
        <v>1845</v>
      </c>
      <c r="M28" s="131">
        <v>3</v>
      </c>
      <c r="N28" s="129" t="s">
        <v>1828</v>
      </c>
    </row>
    <row r="29" spans="1:14" ht="13.5">
      <c r="A29" s="132"/>
      <c r="B29" s="132"/>
      <c r="C29" s="129">
        <v>25</v>
      </c>
      <c r="D29" s="185" t="s">
        <v>1852</v>
      </c>
      <c r="E29" s="129" t="s">
        <v>1170</v>
      </c>
      <c r="F29" s="130" t="s">
        <v>1171</v>
      </c>
      <c r="G29" s="130" t="s">
        <v>1168</v>
      </c>
      <c r="H29" s="129" t="s">
        <v>1843</v>
      </c>
      <c r="I29" s="129" t="s">
        <v>1853</v>
      </c>
      <c r="J29" s="186"/>
      <c r="K29" s="186"/>
      <c r="L29" s="186" t="s">
        <v>1845</v>
      </c>
      <c r="M29" s="131">
        <v>3</v>
      </c>
      <c r="N29" s="129" t="s">
        <v>1828</v>
      </c>
    </row>
    <row r="30" spans="1:14" ht="13.5">
      <c r="A30" s="132"/>
      <c r="B30" s="132"/>
      <c r="C30" s="129">
        <v>26</v>
      </c>
      <c r="D30" s="185" t="s">
        <v>1854</v>
      </c>
      <c r="E30" s="129" t="s">
        <v>1170</v>
      </c>
      <c r="F30" s="130" t="s">
        <v>1171</v>
      </c>
      <c r="G30" s="130" t="s">
        <v>1168</v>
      </c>
      <c r="H30" s="129" t="s">
        <v>1843</v>
      </c>
      <c r="I30" s="129" t="s">
        <v>1855</v>
      </c>
      <c r="J30" s="186"/>
      <c r="K30" s="186"/>
      <c r="L30" s="186" t="s">
        <v>1845</v>
      </c>
      <c r="M30" s="131">
        <v>3</v>
      </c>
      <c r="N30" s="129" t="s">
        <v>1828</v>
      </c>
    </row>
    <row r="31" spans="1:14" ht="13.5">
      <c r="A31" s="132"/>
      <c r="B31" s="132"/>
      <c r="C31" s="129">
        <v>27</v>
      </c>
      <c r="D31" s="185" t="s">
        <v>1856</v>
      </c>
      <c r="E31" s="129" t="s">
        <v>1170</v>
      </c>
      <c r="F31" s="130" t="s">
        <v>1171</v>
      </c>
      <c r="G31" s="130" t="s">
        <v>1168</v>
      </c>
      <c r="H31" s="129" t="s">
        <v>1843</v>
      </c>
      <c r="I31" s="129" t="s">
        <v>1857</v>
      </c>
      <c r="J31" s="186"/>
      <c r="K31" s="186"/>
      <c r="L31" s="186" t="s">
        <v>1845</v>
      </c>
      <c r="M31" s="131">
        <v>3</v>
      </c>
      <c r="N31" s="129" t="s">
        <v>1828</v>
      </c>
    </row>
    <row r="32" spans="1:14" ht="13.5">
      <c r="A32" s="132"/>
      <c r="B32" s="132"/>
      <c r="C32" s="129">
        <v>28</v>
      </c>
      <c r="D32" s="185" t="s">
        <v>1858</v>
      </c>
      <c r="E32" s="129" t="s">
        <v>1170</v>
      </c>
      <c r="F32" s="130" t="s">
        <v>1171</v>
      </c>
      <c r="G32" s="130" t="s">
        <v>1168</v>
      </c>
      <c r="H32" s="129" t="s">
        <v>1843</v>
      </c>
      <c r="I32" s="129" t="s">
        <v>1859</v>
      </c>
      <c r="J32" s="186"/>
      <c r="K32" s="186"/>
      <c r="L32" s="186" t="s">
        <v>1845</v>
      </c>
      <c r="M32" s="131">
        <v>3</v>
      </c>
      <c r="N32" s="129" t="s">
        <v>1828</v>
      </c>
    </row>
    <row r="33" spans="1:14" ht="22.5">
      <c r="A33" s="267"/>
      <c r="B33" s="267"/>
      <c r="C33" s="261">
        <v>29</v>
      </c>
      <c r="D33" s="262" t="s">
        <v>2347</v>
      </c>
      <c r="E33" s="261" t="s">
        <v>2353</v>
      </c>
      <c r="F33" s="130" t="s">
        <v>1171</v>
      </c>
      <c r="G33" s="130" t="s">
        <v>1168</v>
      </c>
      <c r="H33" s="261" t="s">
        <v>2352</v>
      </c>
      <c r="I33" s="261"/>
      <c r="J33" s="261"/>
      <c r="K33" s="261"/>
      <c r="L33" s="498" t="s">
        <v>597</v>
      </c>
      <c r="M33" s="267">
        <v>30</v>
      </c>
      <c r="N33" s="129" t="s">
        <v>1375</v>
      </c>
    </row>
    <row r="34" spans="1:14" ht="22.5">
      <c r="A34" s="267"/>
      <c r="B34" s="267"/>
      <c r="C34" s="261">
        <v>30</v>
      </c>
      <c r="D34" s="262" t="s">
        <v>2348</v>
      </c>
      <c r="E34" s="261" t="s">
        <v>2353</v>
      </c>
      <c r="F34" s="130" t="s">
        <v>1171</v>
      </c>
      <c r="G34" s="130" t="s">
        <v>1168</v>
      </c>
      <c r="H34" s="261" t="s">
        <v>2352</v>
      </c>
      <c r="I34" s="261"/>
      <c r="J34" s="261"/>
      <c r="K34" s="261"/>
      <c r="L34" s="498" t="s">
        <v>596</v>
      </c>
      <c r="M34" s="267">
        <v>30</v>
      </c>
      <c r="N34" s="129" t="s">
        <v>1375</v>
      </c>
    </row>
    <row r="35" spans="1:14" ht="22.5">
      <c r="A35" s="267"/>
      <c r="B35" s="267"/>
      <c r="C35" s="261">
        <v>31</v>
      </c>
      <c r="D35" s="262" t="s">
        <v>2349</v>
      </c>
      <c r="E35" s="261" t="s">
        <v>2353</v>
      </c>
      <c r="F35" s="130" t="s">
        <v>1171</v>
      </c>
      <c r="G35" s="130" t="s">
        <v>1168</v>
      </c>
      <c r="H35" s="261" t="s">
        <v>2352</v>
      </c>
      <c r="I35" s="261"/>
      <c r="J35" s="261"/>
      <c r="K35" s="261"/>
      <c r="L35" s="498" t="s">
        <v>596</v>
      </c>
      <c r="M35" s="267">
        <v>30</v>
      </c>
      <c r="N35" s="129" t="s">
        <v>1375</v>
      </c>
    </row>
    <row r="36" spans="1:14" ht="22.5">
      <c r="A36" s="267"/>
      <c r="B36" s="267"/>
      <c r="C36" s="261">
        <v>32</v>
      </c>
      <c r="D36" s="259" t="s">
        <v>2336</v>
      </c>
      <c r="E36" s="261" t="s">
        <v>2353</v>
      </c>
      <c r="F36" s="130" t="s">
        <v>1171</v>
      </c>
      <c r="G36" s="130" t="s">
        <v>1168</v>
      </c>
      <c r="H36" s="261" t="s">
        <v>2352</v>
      </c>
      <c r="I36" s="267"/>
      <c r="J36" s="267"/>
      <c r="K36" s="267"/>
      <c r="L36" s="498" t="s">
        <v>596</v>
      </c>
      <c r="M36" s="267">
        <v>30</v>
      </c>
      <c r="N36" s="129" t="s">
        <v>1375</v>
      </c>
    </row>
    <row r="37" spans="1:14" ht="22.5">
      <c r="A37" s="267"/>
      <c r="B37" s="267"/>
      <c r="C37" s="261">
        <v>33</v>
      </c>
      <c r="D37" s="259" t="s">
        <v>2337</v>
      </c>
      <c r="E37" s="261" t="s">
        <v>2353</v>
      </c>
      <c r="F37" s="130" t="s">
        <v>1171</v>
      </c>
      <c r="G37" s="130" t="s">
        <v>1168</v>
      </c>
      <c r="H37" s="261" t="s">
        <v>2352</v>
      </c>
      <c r="I37" s="267"/>
      <c r="J37" s="267"/>
      <c r="K37" s="267"/>
      <c r="L37" s="498" t="s">
        <v>596</v>
      </c>
      <c r="M37" s="267">
        <v>30</v>
      </c>
      <c r="N37" s="129" t="s">
        <v>1375</v>
      </c>
    </row>
    <row r="38" spans="1:14" ht="22.5">
      <c r="A38" s="267"/>
      <c r="B38" s="267"/>
      <c r="C38" s="261">
        <v>34</v>
      </c>
      <c r="D38" s="259" t="s">
        <v>2338</v>
      </c>
      <c r="E38" s="261" t="s">
        <v>2353</v>
      </c>
      <c r="F38" s="130" t="s">
        <v>1171</v>
      </c>
      <c r="G38" s="130" t="s">
        <v>1168</v>
      </c>
      <c r="H38" s="261" t="s">
        <v>2352</v>
      </c>
      <c r="I38" s="267"/>
      <c r="J38" s="267"/>
      <c r="K38" s="267"/>
      <c r="L38" s="498" t="s">
        <v>596</v>
      </c>
      <c r="M38" s="267">
        <v>30</v>
      </c>
      <c r="N38" s="129" t="s">
        <v>1375</v>
      </c>
    </row>
    <row r="39" spans="1:14" ht="22.5">
      <c r="A39" s="267"/>
      <c r="B39" s="267"/>
      <c r="C39" s="261">
        <v>35</v>
      </c>
      <c r="D39" s="259" t="s">
        <v>2339</v>
      </c>
      <c r="E39" s="261" t="s">
        <v>2353</v>
      </c>
      <c r="F39" s="130" t="s">
        <v>1171</v>
      </c>
      <c r="G39" s="130" t="s">
        <v>1168</v>
      </c>
      <c r="H39" s="261" t="s">
        <v>2354</v>
      </c>
      <c r="I39" s="267"/>
      <c r="J39" s="267"/>
      <c r="K39" s="267"/>
      <c r="L39" s="498" t="s">
        <v>596</v>
      </c>
      <c r="M39" s="267">
        <v>30</v>
      </c>
      <c r="N39" s="129" t="s">
        <v>1375</v>
      </c>
    </row>
    <row r="40" spans="1:14" ht="22.5">
      <c r="A40" s="267"/>
      <c r="B40" s="267"/>
      <c r="C40" s="261">
        <v>36</v>
      </c>
      <c r="D40" s="259" t="s">
        <v>2340</v>
      </c>
      <c r="E40" s="261" t="s">
        <v>2353</v>
      </c>
      <c r="F40" s="130" t="s">
        <v>1171</v>
      </c>
      <c r="G40" s="130" t="s">
        <v>1168</v>
      </c>
      <c r="H40" s="261" t="s">
        <v>2355</v>
      </c>
      <c r="I40" s="267"/>
      <c r="J40" s="267"/>
      <c r="K40" s="267"/>
      <c r="L40" s="498" t="s">
        <v>597</v>
      </c>
      <c r="M40" s="267">
        <v>30</v>
      </c>
      <c r="N40" s="129" t="s">
        <v>1375</v>
      </c>
    </row>
    <row r="41" spans="1:14" ht="22.5">
      <c r="A41" s="267"/>
      <c r="B41" s="267"/>
      <c r="C41" s="261">
        <v>37</v>
      </c>
      <c r="D41" s="259" t="s">
        <v>2341</v>
      </c>
      <c r="E41" s="261" t="s">
        <v>2353</v>
      </c>
      <c r="F41" s="130" t="s">
        <v>1171</v>
      </c>
      <c r="G41" s="130" t="s">
        <v>1168</v>
      </c>
      <c r="H41" s="261" t="s">
        <v>2355</v>
      </c>
      <c r="I41" s="267"/>
      <c r="J41" s="267"/>
      <c r="K41" s="267"/>
      <c r="L41" s="498" t="s">
        <v>597</v>
      </c>
      <c r="M41" s="267">
        <v>30</v>
      </c>
      <c r="N41" s="129" t="s">
        <v>1375</v>
      </c>
    </row>
    <row r="42" spans="1:14" ht="22.5">
      <c r="A42" s="267"/>
      <c r="B42" s="267"/>
      <c r="C42" s="261">
        <v>38</v>
      </c>
      <c r="D42" s="259" t="s">
        <v>2342</v>
      </c>
      <c r="E42" s="261" t="s">
        <v>2353</v>
      </c>
      <c r="F42" s="130" t="s">
        <v>1171</v>
      </c>
      <c r="G42" s="130" t="s">
        <v>1168</v>
      </c>
      <c r="H42" s="261" t="s">
        <v>2355</v>
      </c>
      <c r="I42" s="267"/>
      <c r="J42" s="267"/>
      <c r="K42" s="267"/>
      <c r="L42" s="498" t="s">
        <v>597</v>
      </c>
      <c r="M42" s="267">
        <v>30</v>
      </c>
      <c r="N42" s="129" t="s">
        <v>1375</v>
      </c>
    </row>
    <row r="43" spans="1:14" ht="22.5">
      <c r="A43" s="267"/>
      <c r="B43" s="267"/>
      <c r="C43" s="261">
        <v>39</v>
      </c>
      <c r="D43" s="259" t="s">
        <v>2343</v>
      </c>
      <c r="E43" s="261" t="s">
        <v>2353</v>
      </c>
      <c r="F43" s="130" t="s">
        <v>1171</v>
      </c>
      <c r="G43" s="130" t="s">
        <v>1168</v>
      </c>
      <c r="H43" s="261" t="s">
        <v>2356</v>
      </c>
      <c r="I43" s="267"/>
      <c r="J43" s="267"/>
      <c r="K43" s="267"/>
      <c r="L43" s="499" t="s">
        <v>598</v>
      </c>
      <c r="M43" s="267">
        <v>30</v>
      </c>
      <c r="N43" s="129" t="s">
        <v>1375</v>
      </c>
    </row>
    <row r="44" spans="1:14" ht="22.5">
      <c r="A44" s="267"/>
      <c r="B44" s="267"/>
      <c r="C44" s="261">
        <v>40</v>
      </c>
      <c r="D44" s="259" t="s">
        <v>2344</v>
      </c>
      <c r="E44" s="261" t="s">
        <v>2353</v>
      </c>
      <c r="F44" s="130" t="s">
        <v>1171</v>
      </c>
      <c r="G44" s="130" t="s">
        <v>1168</v>
      </c>
      <c r="H44" s="261" t="s">
        <v>2352</v>
      </c>
      <c r="I44" s="267"/>
      <c r="J44" s="267"/>
      <c r="K44" s="267"/>
      <c r="L44" s="498" t="s">
        <v>596</v>
      </c>
      <c r="M44" s="267">
        <v>30</v>
      </c>
      <c r="N44" s="129" t="s">
        <v>1375</v>
      </c>
    </row>
    <row r="45" spans="1:14" ht="22.5">
      <c r="A45" s="267"/>
      <c r="B45" s="267"/>
      <c r="C45" s="261">
        <v>41</v>
      </c>
      <c r="D45" s="259" t="s">
        <v>2345</v>
      </c>
      <c r="E45" s="261" t="s">
        <v>2353</v>
      </c>
      <c r="F45" s="130" t="s">
        <v>1171</v>
      </c>
      <c r="G45" s="130" t="s">
        <v>1168</v>
      </c>
      <c r="H45" s="261" t="s">
        <v>2354</v>
      </c>
      <c r="I45" s="267"/>
      <c r="J45" s="267"/>
      <c r="K45" s="267"/>
      <c r="L45" s="498" t="s">
        <v>596</v>
      </c>
      <c r="M45" s="267">
        <v>30</v>
      </c>
      <c r="N45" s="129" t="s">
        <v>1375</v>
      </c>
    </row>
    <row r="46" spans="1:14" ht="22.5">
      <c r="A46" s="267"/>
      <c r="B46" s="267"/>
      <c r="C46" s="261">
        <v>42</v>
      </c>
      <c r="D46" s="267" t="s">
        <v>2350</v>
      </c>
      <c r="E46" s="261" t="s">
        <v>2353</v>
      </c>
      <c r="F46" s="130" t="s">
        <v>1171</v>
      </c>
      <c r="G46" s="130" t="s">
        <v>1168</v>
      </c>
      <c r="H46" s="261" t="s">
        <v>2356</v>
      </c>
      <c r="I46" s="267"/>
      <c r="J46" s="267"/>
      <c r="K46" s="267"/>
      <c r="L46" s="498" t="s">
        <v>599</v>
      </c>
      <c r="M46" s="267">
        <v>30</v>
      </c>
      <c r="N46" s="129" t="s">
        <v>1375</v>
      </c>
    </row>
    <row r="47" spans="1:14" ht="22.5">
      <c r="A47" s="267"/>
      <c r="B47" s="267"/>
      <c r="C47" s="261">
        <v>43</v>
      </c>
      <c r="D47" s="267" t="s">
        <v>2351</v>
      </c>
      <c r="E47" s="261" t="s">
        <v>2353</v>
      </c>
      <c r="F47" s="130" t="s">
        <v>1171</v>
      </c>
      <c r="G47" s="130" t="s">
        <v>1168</v>
      </c>
      <c r="H47" s="261" t="s">
        <v>2352</v>
      </c>
      <c r="I47" s="267"/>
      <c r="J47" s="267"/>
      <c r="K47" s="267"/>
      <c r="L47" s="498" t="s">
        <v>596</v>
      </c>
      <c r="M47" s="267">
        <v>30</v>
      </c>
      <c r="N47" s="129" t="s">
        <v>1375</v>
      </c>
    </row>
    <row r="48" spans="1:14" ht="22.5">
      <c r="A48" s="267"/>
      <c r="B48" s="267"/>
      <c r="C48" s="261">
        <v>44</v>
      </c>
      <c r="D48" s="267" t="s">
        <v>2346</v>
      </c>
      <c r="E48" s="261" t="s">
        <v>2353</v>
      </c>
      <c r="F48" s="130" t="s">
        <v>1171</v>
      </c>
      <c r="G48" s="130" t="s">
        <v>1168</v>
      </c>
      <c r="H48" s="261" t="s">
        <v>2354</v>
      </c>
      <c r="I48" s="267"/>
      <c r="J48" s="267"/>
      <c r="K48" s="267"/>
      <c r="L48" s="498" t="s">
        <v>596</v>
      </c>
      <c r="M48" s="267">
        <v>30</v>
      </c>
      <c r="N48" s="129" t="s">
        <v>1375</v>
      </c>
    </row>
  </sheetData>
  <sheetProtection/>
  <mergeCells count="15">
    <mergeCell ref="E2:E3"/>
    <mergeCell ref="F2:F3"/>
    <mergeCell ref="G2:G3"/>
    <mergeCell ref="H2:H3"/>
    <mergeCell ref="I2:I3"/>
    <mergeCell ref="N2:N3"/>
    <mergeCell ref="M2:M3"/>
    <mergeCell ref="J2:J3"/>
    <mergeCell ref="K2:K3"/>
    <mergeCell ref="L2:L3"/>
    <mergeCell ref="A1:N1"/>
    <mergeCell ref="A2:A3"/>
    <mergeCell ref="B2:B3"/>
    <mergeCell ref="C2:C3"/>
    <mergeCell ref="D2: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Z13"/>
  <sheetViews>
    <sheetView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O10" sqref="O10"/>
    </sheetView>
  </sheetViews>
  <sheetFormatPr defaultColWidth="9.00390625" defaultRowHeight="13.5"/>
  <cols>
    <col min="1" max="1" width="4.375" style="0" customWidth="1"/>
    <col min="2" max="2" width="7.50390625" style="0" customWidth="1"/>
    <col min="3" max="3" width="9.75390625" style="0" customWidth="1"/>
    <col min="4" max="4" width="14.50390625" style="0" customWidth="1"/>
    <col min="5" max="5" width="5.00390625" style="0" customWidth="1"/>
    <col min="6" max="6" width="5.625" style="0" customWidth="1"/>
    <col min="7" max="7" width="6.75390625" style="0" customWidth="1"/>
    <col min="8" max="8" width="6.50390625" style="0" customWidth="1"/>
    <col min="9" max="9" width="6.75390625" style="0" customWidth="1"/>
    <col min="10" max="10" width="7.125" style="0" customWidth="1"/>
    <col min="11" max="11" width="7.125" style="0" hidden="1" customWidth="1"/>
    <col min="12" max="12" width="7.125" style="0" customWidth="1"/>
    <col min="13" max="13" width="12.00390625" style="0" customWidth="1"/>
    <col min="15" max="26" width="9.00390625" style="47" customWidth="1"/>
  </cols>
  <sheetData>
    <row r="1" spans="1:13" ht="24">
      <c r="A1" s="919" t="s">
        <v>600</v>
      </c>
      <c r="B1" s="919"/>
      <c r="C1" s="919"/>
      <c r="D1" s="919"/>
      <c r="E1" s="919"/>
      <c r="F1" s="919"/>
      <c r="G1" s="919"/>
      <c r="H1" s="919"/>
      <c r="I1" s="919"/>
      <c r="J1" s="919"/>
      <c r="K1" s="919"/>
      <c r="L1" s="919"/>
      <c r="M1" s="919"/>
    </row>
    <row r="2" spans="1:13" ht="13.5" customHeight="1">
      <c r="A2" s="915" t="s">
        <v>601</v>
      </c>
      <c r="B2" s="915" t="s">
        <v>602</v>
      </c>
      <c r="C2" s="915" t="s">
        <v>603</v>
      </c>
      <c r="D2" s="915" t="s">
        <v>604</v>
      </c>
      <c r="E2" s="915" t="s">
        <v>605</v>
      </c>
      <c r="F2" s="915"/>
      <c r="G2" s="915" t="s">
        <v>606</v>
      </c>
      <c r="H2" s="915" t="s">
        <v>607</v>
      </c>
      <c r="I2" s="915"/>
      <c r="J2" s="915" t="s">
        <v>608</v>
      </c>
      <c r="K2" s="915" t="s">
        <v>609</v>
      </c>
      <c r="L2" s="915" t="s">
        <v>610</v>
      </c>
      <c r="M2" s="915" t="s">
        <v>611</v>
      </c>
    </row>
    <row r="3" spans="1:26" ht="27" customHeight="1">
      <c r="A3" s="915"/>
      <c r="B3" s="915"/>
      <c r="C3" s="915"/>
      <c r="D3" s="915"/>
      <c r="E3" s="66" t="s">
        <v>612</v>
      </c>
      <c r="F3" s="66" t="s">
        <v>613</v>
      </c>
      <c r="G3" s="915"/>
      <c r="H3" s="66" t="s">
        <v>614</v>
      </c>
      <c r="I3" s="66" t="s">
        <v>615</v>
      </c>
      <c r="J3" s="915"/>
      <c r="K3" s="915"/>
      <c r="L3" s="915"/>
      <c r="M3" s="915"/>
      <c r="O3" s="916"/>
      <c r="P3" s="914"/>
      <c r="Q3" s="914"/>
      <c r="R3" s="913"/>
      <c r="S3" s="913"/>
      <c r="T3" s="913"/>
      <c r="U3" s="913"/>
      <c r="V3" s="913"/>
      <c r="W3" s="913"/>
      <c r="X3" s="913"/>
      <c r="Y3" s="913"/>
      <c r="Z3" s="914"/>
    </row>
    <row r="4" spans="1:26" s="510" customFormat="1" ht="13.5">
      <c r="A4" s="917" t="s">
        <v>635</v>
      </c>
      <c r="B4" s="918"/>
      <c r="C4" s="241">
        <f>SUM(C5:C13)</f>
        <v>26652</v>
      </c>
      <c r="D4" s="220"/>
      <c r="E4" s="220"/>
      <c r="F4" s="220"/>
      <c r="G4" s="220"/>
      <c r="H4" s="220"/>
      <c r="I4" s="220"/>
      <c r="J4" s="220"/>
      <c r="K4" s="220"/>
      <c r="L4" s="220"/>
      <c r="M4" s="220"/>
      <c r="O4" s="916"/>
      <c r="P4" s="914"/>
      <c r="Q4" s="914"/>
      <c r="R4" s="624"/>
      <c r="S4" s="624"/>
      <c r="T4" s="624"/>
      <c r="U4" s="624"/>
      <c r="V4" s="624"/>
      <c r="W4" s="624"/>
      <c r="X4" s="624"/>
      <c r="Y4" s="624"/>
      <c r="Z4" s="914"/>
    </row>
    <row r="5" spans="1:26" ht="65.25" customHeight="1">
      <c r="A5" s="66">
        <v>1</v>
      </c>
      <c r="B5" s="66" t="s">
        <v>616</v>
      </c>
      <c r="C5" s="621">
        <v>1464</v>
      </c>
      <c r="D5" s="622" t="s">
        <v>2569</v>
      </c>
      <c r="E5" s="66"/>
      <c r="F5" s="66"/>
      <c r="G5" s="66" t="s">
        <v>617</v>
      </c>
      <c r="H5" s="66" t="s">
        <v>618</v>
      </c>
      <c r="I5" s="66" t="s">
        <v>619</v>
      </c>
      <c r="J5" s="66" t="s">
        <v>620</v>
      </c>
      <c r="K5" s="66" t="s">
        <v>620</v>
      </c>
      <c r="L5" s="66"/>
      <c r="M5" s="66" t="s">
        <v>621</v>
      </c>
      <c r="O5" s="625"/>
      <c r="P5" s="625"/>
      <c r="Q5" s="624"/>
      <c r="R5" s="624"/>
      <c r="S5" s="624"/>
      <c r="T5" s="624"/>
      <c r="U5" s="624"/>
      <c r="V5" s="624"/>
      <c r="W5" s="625"/>
      <c r="X5" s="624"/>
      <c r="Y5" s="624"/>
      <c r="Z5" s="623"/>
    </row>
    <row r="6" spans="1:26" ht="65.25" customHeight="1">
      <c r="A6" s="15">
        <v>2</v>
      </c>
      <c r="B6" s="66" t="s">
        <v>622</v>
      </c>
      <c r="C6" s="621">
        <v>2400</v>
      </c>
      <c r="D6" s="622" t="s">
        <v>2570</v>
      </c>
      <c r="E6" s="15"/>
      <c r="F6" s="15"/>
      <c r="G6" s="66" t="s">
        <v>617</v>
      </c>
      <c r="H6" s="66" t="s">
        <v>618</v>
      </c>
      <c r="I6" s="66" t="s">
        <v>619</v>
      </c>
      <c r="J6" s="66" t="s">
        <v>620</v>
      </c>
      <c r="K6" s="66" t="s">
        <v>620</v>
      </c>
      <c r="L6" s="15"/>
      <c r="M6" s="66" t="s">
        <v>621</v>
      </c>
      <c r="O6" s="625"/>
      <c r="P6" s="625"/>
      <c r="Q6" s="624"/>
      <c r="R6" s="624"/>
      <c r="S6" s="624"/>
      <c r="T6" s="624"/>
      <c r="U6" s="624"/>
      <c r="V6" s="624"/>
      <c r="W6" s="625"/>
      <c r="X6" s="624"/>
      <c r="Y6" s="624"/>
      <c r="Z6" s="623"/>
    </row>
    <row r="7" spans="1:26" ht="65.25" customHeight="1">
      <c r="A7" s="66">
        <v>3</v>
      </c>
      <c r="B7" s="66" t="s">
        <v>623</v>
      </c>
      <c r="C7" s="621">
        <v>1440.0000000000002</v>
      </c>
      <c r="D7" s="622" t="s">
        <v>2571</v>
      </c>
      <c r="E7" s="15"/>
      <c r="F7" s="15"/>
      <c r="G7" s="66" t="s">
        <v>617</v>
      </c>
      <c r="H7" s="66" t="s">
        <v>618</v>
      </c>
      <c r="I7" s="66" t="s">
        <v>619</v>
      </c>
      <c r="J7" s="66" t="s">
        <v>620</v>
      </c>
      <c r="K7" s="66" t="s">
        <v>620</v>
      </c>
      <c r="L7" s="15"/>
      <c r="M7" s="66" t="s">
        <v>621</v>
      </c>
      <c r="O7" s="625"/>
      <c r="P7" s="625"/>
      <c r="Q7" s="624"/>
      <c r="R7" s="624"/>
      <c r="S7" s="624"/>
      <c r="T7" s="624"/>
      <c r="U7" s="624"/>
      <c r="V7" s="624"/>
      <c r="W7" s="626"/>
      <c r="X7" s="624"/>
      <c r="Y7" s="624"/>
      <c r="Z7" s="623"/>
    </row>
    <row r="8" spans="1:26" ht="65.25" customHeight="1">
      <c r="A8" s="15">
        <v>4</v>
      </c>
      <c r="B8" s="66" t="s">
        <v>624</v>
      </c>
      <c r="C8" s="621">
        <v>3120</v>
      </c>
      <c r="D8" s="622" t="s">
        <v>2572</v>
      </c>
      <c r="E8" s="15"/>
      <c r="F8" s="15"/>
      <c r="G8" s="66" t="s">
        <v>617</v>
      </c>
      <c r="H8" s="66" t="s">
        <v>618</v>
      </c>
      <c r="I8" s="66" t="s">
        <v>619</v>
      </c>
      <c r="J8" s="66" t="s">
        <v>620</v>
      </c>
      <c r="K8" s="66" t="s">
        <v>620</v>
      </c>
      <c r="L8" s="15"/>
      <c r="M8" s="66" t="s">
        <v>621</v>
      </c>
      <c r="O8" s="625"/>
      <c r="P8" s="625"/>
      <c r="Q8" s="624"/>
      <c r="R8" s="624"/>
      <c r="S8" s="624"/>
      <c r="T8" s="624"/>
      <c r="U8" s="624"/>
      <c r="V8" s="624"/>
      <c r="W8" s="626"/>
      <c r="X8" s="624"/>
      <c r="Y8" s="624"/>
      <c r="Z8" s="623"/>
    </row>
    <row r="9" spans="1:26" ht="65.25" customHeight="1">
      <c r="A9" s="66">
        <v>5</v>
      </c>
      <c r="B9" s="66" t="s">
        <v>625</v>
      </c>
      <c r="C9" s="621">
        <v>3120</v>
      </c>
      <c r="D9" s="622" t="s">
        <v>2573</v>
      </c>
      <c r="E9" s="15"/>
      <c r="F9" s="15"/>
      <c r="G9" s="66" t="s">
        <v>617</v>
      </c>
      <c r="H9" s="66" t="s">
        <v>618</v>
      </c>
      <c r="I9" s="66" t="s">
        <v>619</v>
      </c>
      <c r="J9" s="66" t="s">
        <v>620</v>
      </c>
      <c r="K9" s="66" t="s">
        <v>626</v>
      </c>
      <c r="L9" s="15"/>
      <c r="M9" s="66" t="s">
        <v>621</v>
      </c>
      <c r="O9" s="625"/>
      <c r="P9" s="625"/>
      <c r="Q9" s="624"/>
      <c r="R9" s="624"/>
      <c r="S9" s="624"/>
      <c r="T9" s="624"/>
      <c r="U9" s="624"/>
      <c r="V9" s="624"/>
      <c r="W9" s="625"/>
      <c r="X9" s="624"/>
      <c r="Y9" s="624"/>
      <c r="Z9" s="623"/>
    </row>
    <row r="10" spans="1:26" ht="65.25" customHeight="1">
      <c r="A10" s="15">
        <v>6</v>
      </c>
      <c r="B10" s="66" t="s">
        <v>627</v>
      </c>
      <c r="C10" s="621">
        <v>1608</v>
      </c>
      <c r="D10" s="622" t="s">
        <v>2574</v>
      </c>
      <c r="E10" s="15"/>
      <c r="F10" s="15"/>
      <c r="G10" s="66" t="s">
        <v>617</v>
      </c>
      <c r="H10" s="66" t="s">
        <v>618</v>
      </c>
      <c r="I10" s="66" t="s">
        <v>619</v>
      </c>
      <c r="J10" s="66" t="s">
        <v>620</v>
      </c>
      <c r="K10" s="66" t="s">
        <v>620</v>
      </c>
      <c r="L10" s="15"/>
      <c r="M10" s="66" t="s">
        <v>621</v>
      </c>
      <c r="O10" s="625"/>
      <c r="P10" s="625"/>
      <c r="Q10" s="624"/>
      <c r="R10" s="624"/>
      <c r="S10" s="624"/>
      <c r="T10" s="624"/>
      <c r="U10" s="624"/>
      <c r="V10" s="624"/>
      <c r="W10" s="625"/>
      <c r="X10" s="624"/>
      <c r="Y10" s="624"/>
      <c r="Z10" s="623"/>
    </row>
    <row r="11" spans="1:13" ht="81.75" customHeight="1">
      <c r="A11" s="66">
        <v>7</v>
      </c>
      <c r="B11" s="66" t="s">
        <v>634</v>
      </c>
      <c r="C11" s="66">
        <v>3500</v>
      </c>
      <c r="D11" s="66" t="s">
        <v>636</v>
      </c>
      <c r="E11" s="15"/>
      <c r="F11" s="15"/>
      <c r="G11" s="66" t="s">
        <v>617</v>
      </c>
      <c r="H11" s="66" t="s">
        <v>618</v>
      </c>
      <c r="I11" s="66" t="s">
        <v>619</v>
      </c>
      <c r="J11" s="66" t="s">
        <v>620</v>
      </c>
      <c r="K11" s="66" t="s">
        <v>626</v>
      </c>
      <c r="L11" s="15"/>
      <c r="M11" s="66" t="s">
        <v>628</v>
      </c>
    </row>
    <row r="12" spans="1:13" ht="65.25" customHeight="1">
      <c r="A12" s="664">
        <v>8</v>
      </c>
      <c r="B12" s="665" t="s">
        <v>2642</v>
      </c>
      <c r="C12" s="66">
        <v>5500</v>
      </c>
      <c r="D12" s="665" t="s">
        <v>2644</v>
      </c>
      <c r="E12" s="3"/>
      <c r="F12" s="3"/>
      <c r="G12" s="66" t="s">
        <v>617</v>
      </c>
      <c r="H12" s="66" t="s">
        <v>618</v>
      </c>
      <c r="I12" s="66" t="s">
        <v>619</v>
      </c>
      <c r="J12" s="66" t="s">
        <v>620</v>
      </c>
      <c r="K12" s="66" t="s">
        <v>626</v>
      </c>
      <c r="L12" s="3"/>
      <c r="M12" s="666" t="s">
        <v>2647</v>
      </c>
    </row>
    <row r="13" spans="1:13" ht="65.25" customHeight="1">
      <c r="A13" s="665">
        <v>9</v>
      </c>
      <c r="B13" s="665" t="s">
        <v>2643</v>
      </c>
      <c r="C13" s="66">
        <v>4500</v>
      </c>
      <c r="D13" s="665" t="s">
        <v>2645</v>
      </c>
      <c r="E13" s="3"/>
      <c r="F13" s="3"/>
      <c r="G13" s="66" t="s">
        <v>617</v>
      </c>
      <c r="H13" s="66" t="s">
        <v>618</v>
      </c>
      <c r="I13" s="66" t="s">
        <v>619</v>
      </c>
      <c r="J13" s="66" t="s">
        <v>620</v>
      </c>
      <c r="K13" s="3"/>
      <c r="L13" s="3"/>
      <c r="M13" s="666" t="s">
        <v>2646</v>
      </c>
    </row>
  </sheetData>
  <sheetProtection/>
  <mergeCells count="19">
    <mergeCell ref="M2:M3"/>
    <mergeCell ref="A4:B4"/>
    <mergeCell ref="A1:M1"/>
    <mergeCell ref="A2:A3"/>
    <mergeCell ref="B2:B3"/>
    <mergeCell ref="C2:C3"/>
    <mergeCell ref="D2:D3"/>
    <mergeCell ref="E2:F2"/>
    <mergeCell ref="G2:G3"/>
    <mergeCell ref="R3:U3"/>
    <mergeCell ref="V3:Y3"/>
    <mergeCell ref="Z3:Z4"/>
    <mergeCell ref="H2:I2"/>
    <mergeCell ref="J2:J3"/>
    <mergeCell ref="K2:K3"/>
    <mergeCell ref="O3:O4"/>
    <mergeCell ref="P3:P4"/>
    <mergeCell ref="Q3:Q4"/>
    <mergeCell ref="L2:L3"/>
  </mergeCells>
  <printOptions/>
  <pageMargins left="0.7086614173228347" right="0.35433070866141736"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BS53"/>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V46" sqref="AV46"/>
    </sheetView>
  </sheetViews>
  <sheetFormatPr defaultColWidth="9.00390625" defaultRowHeight="13.5"/>
  <cols>
    <col min="1" max="1" width="4.625" style="0" customWidth="1"/>
    <col min="3" max="4" width="6.00390625" style="0" customWidth="1"/>
    <col min="5" max="8" width="9.00390625" style="0" hidden="1" customWidth="1"/>
    <col min="10" max="10" width="10.50390625" style="0" hidden="1" customWidth="1"/>
    <col min="11" max="12" width="0" style="0" hidden="1" customWidth="1"/>
    <col min="13" max="17" width="9.00390625" style="0" hidden="1" customWidth="1"/>
    <col min="18" max="18" width="7.625" style="0" customWidth="1"/>
    <col min="19" max="20" width="9.00390625" style="0" customWidth="1"/>
    <col min="21" max="25" width="9.00390625" style="0" hidden="1" customWidth="1"/>
    <col min="26" max="26" width="7.00390625" style="0" customWidth="1"/>
    <col min="27" max="31" width="9.00390625" style="0" hidden="1" customWidth="1"/>
    <col min="32" max="33" width="6.00390625" style="0" customWidth="1"/>
    <col min="34" max="35" width="9.00390625" style="0" hidden="1" customWidth="1"/>
    <col min="36" max="36" width="9.00390625" style="0" customWidth="1"/>
    <col min="37" max="46" width="9.00390625" style="0" hidden="1" customWidth="1"/>
  </cols>
  <sheetData>
    <row r="1" spans="1:46" ht="18.75">
      <c r="A1" s="704" t="s">
        <v>2357</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row>
    <row r="2" spans="1:46" s="30" customFormat="1" ht="12">
      <c r="A2" s="700" t="s">
        <v>2358</v>
      </c>
      <c r="B2" s="700" t="s">
        <v>2359</v>
      </c>
      <c r="C2" s="705" t="s">
        <v>2360</v>
      </c>
      <c r="D2" s="700" t="s">
        <v>2361</v>
      </c>
      <c r="E2" s="700" t="s">
        <v>2362</v>
      </c>
      <c r="F2" s="700" t="s">
        <v>2363</v>
      </c>
      <c r="G2" s="711" t="s">
        <v>2364</v>
      </c>
      <c r="H2" s="699" t="s">
        <v>2365</v>
      </c>
      <c r="I2" s="699" t="s">
        <v>767</v>
      </c>
      <c r="J2" s="699" t="s">
        <v>2366</v>
      </c>
      <c r="K2" s="699"/>
      <c r="L2" s="699" t="s">
        <v>2367</v>
      </c>
      <c r="M2" s="699" t="s">
        <v>2368</v>
      </c>
      <c r="N2" s="699" t="s">
        <v>2369</v>
      </c>
      <c r="O2" s="699"/>
      <c r="P2" s="699" t="s">
        <v>2370</v>
      </c>
      <c r="Q2" s="699" t="s">
        <v>768</v>
      </c>
      <c r="R2" s="699" t="s">
        <v>2371</v>
      </c>
      <c r="S2" s="699"/>
      <c r="T2" s="699"/>
      <c r="U2" s="699"/>
      <c r="V2" s="699" t="s">
        <v>2372</v>
      </c>
      <c r="W2" s="699"/>
      <c r="X2" s="699"/>
      <c r="Y2" s="699"/>
      <c r="Z2" s="700" t="s">
        <v>2373</v>
      </c>
      <c r="AA2" s="700"/>
      <c r="AB2" s="700"/>
      <c r="AC2" s="700"/>
      <c r="AD2" s="700"/>
      <c r="AE2" s="700"/>
      <c r="AF2" s="700"/>
      <c r="AG2" s="700"/>
      <c r="AH2" s="700"/>
      <c r="AI2" s="700"/>
      <c r="AJ2" s="699" t="s">
        <v>2374</v>
      </c>
      <c r="AK2" s="699" t="s">
        <v>2375</v>
      </c>
      <c r="AL2" s="699" t="s">
        <v>2376</v>
      </c>
      <c r="AM2" s="699" t="s">
        <v>2377</v>
      </c>
      <c r="AN2" s="699"/>
      <c r="AO2" s="699"/>
      <c r="AP2" s="699"/>
      <c r="AQ2" s="699"/>
      <c r="AR2" s="699"/>
      <c r="AS2" s="699"/>
      <c r="AT2" s="699"/>
    </row>
    <row r="3" spans="1:46" s="30" customFormat="1" ht="12">
      <c r="A3" s="700"/>
      <c r="B3" s="700"/>
      <c r="C3" s="706"/>
      <c r="D3" s="700"/>
      <c r="E3" s="700"/>
      <c r="F3" s="700"/>
      <c r="G3" s="711"/>
      <c r="H3" s="699"/>
      <c r="I3" s="699"/>
      <c r="J3" s="699" t="s">
        <v>2378</v>
      </c>
      <c r="K3" s="699" t="s">
        <v>2379</v>
      </c>
      <c r="L3" s="699"/>
      <c r="M3" s="699"/>
      <c r="N3" s="699" t="s">
        <v>2380</v>
      </c>
      <c r="O3" s="699" t="s">
        <v>2381</v>
      </c>
      <c r="P3" s="699"/>
      <c r="Q3" s="699"/>
      <c r="R3" s="701" t="s">
        <v>2382</v>
      </c>
      <c r="S3" s="701" t="s">
        <v>2383</v>
      </c>
      <c r="T3" s="701" t="s">
        <v>2384</v>
      </c>
      <c r="U3" s="701" t="s">
        <v>2385</v>
      </c>
      <c r="V3" s="701" t="s">
        <v>2386</v>
      </c>
      <c r="W3" s="701"/>
      <c r="X3" s="701" t="s">
        <v>2387</v>
      </c>
      <c r="Y3" s="701"/>
      <c r="Z3" s="701" t="s">
        <v>2388</v>
      </c>
      <c r="AA3" s="702" t="s">
        <v>2389</v>
      </c>
      <c r="AB3" s="702"/>
      <c r="AC3" s="703" t="s">
        <v>2390</v>
      </c>
      <c r="AD3" s="703"/>
      <c r="AE3" s="703"/>
      <c r="AF3" s="708" t="s">
        <v>2391</v>
      </c>
      <c r="AG3" s="708"/>
      <c r="AH3" s="709" t="s">
        <v>2392</v>
      </c>
      <c r="AI3" s="710"/>
      <c r="AJ3" s="699"/>
      <c r="AK3" s="699"/>
      <c r="AL3" s="699"/>
      <c r="AM3" s="699" t="s">
        <v>2393</v>
      </c>
      <c r="AN3" s="699"/>
      <c r="AO3" s="699" t="s">
        <v>2394</v>
      </c>
      <c r="AP3" s="699" t="s">
        <v>2395</v>
      </c>
      <c r="AQ3" s="699"/>
      <c r="AR3" s="699" t="s">
        <v>2396</v>
      </c>
      <c r="AS3" s="699" t="s">
        <v>2397</v>
      </c>
      <c r="AT3" s="699" t="s">
        <v>2398</v>
      </c>
    </row>
    <row r="4" spans="1:46" s="30" customFormat="1" ht="31.5">
      <c r="A4" s="700"/>
      <c r="B4" s="700"/>
      <c r="C4" s="707"/>
      <c r="D4" s="700"/>
      <c r="E4" s="700"/>
      <c r="F4" s="700"/>
      <c r="G4" s="711"/>
      <c r="H4" s="699"/>
      <c r="I4" s="699"/>
      <c r="J4" s="699"/>
      <c r="K4" s="699"/>
      <c r="L4" s="699"/>
      <c r="M4" s="699"/>
      <c r="N4" s="699"/>
      <c r="O4" s="699"/>
      <c r="P4" s="699"/>
      <c r="Q4" s="699"/>
      <c r="R4" s="701"/>
      <c r="S4" s="701"/>
      <c r="T4" s="701"/>
      <c r="U4" s="701"/>
      <c r="V4" s="301" t="s">
        <v>2399</v>
      </c>
      <c r="W4" s="302" t="s">
        <v>2400</v>
      </c>
      <c r="X4" s="301" t="s">
        <v>2401</v>
      </c>
      <c r="Y4" s="301" t="s">
        <v>2402</v>
      </c>
      <c r="Z4" s="701"/>
      <c r="AA4" s="303" t="s">
        <v>2403</v>
      </c>
      <c r="AB4" s="302" t="s">
        <v>769</v>
      </c>
      <c r="AC4" s="302" t="s">
        <v>2404</v>
      </c>
      <c r="AD4" s="302" t="s">
        <v>769</v>
      </c>
      <c r="AE4" s="302" t="s">
        <v>770</v>
      </c>
      <c r="AF4" s="304" t="s">
        <v>771</v>
      </c>
      <c r="AG4" s="304" t="s">
        <v>772</v>
      </c>
      <c r="AH4" s="305" t="s">
        <v>769</v>
      </c>
      <c r="AI4" s="305" t="s">
        <v>773</v>
      </c>
      <c r="AJ4" s="699"/>
      <c r="AK4" s="699"/>
      <c r="AL4" s="699"/>
      <c r="AM4" s="20" t="s">
        <v>2405</v>
      </c>
      <c r="AN4" s="20" t="s">
        <v>2406</v>
      </c>
      <c r="AO4" s="699"/>
      <c r="AP4" s="20" t="s">
        <v>2407</v>
      </c>
      <c r="AQ4" s="20" t="s">
        <v>2408</v>
      </c>
      <c r="AR4" s="699"/>
      <c r="AS4" s="699"/>
      <c r="AT4" s="699"/>
    </row>
    <row r="5" spans="1:46" ht="288">
      <c r="A5" s="21">
        <v>1</v>
      </c>
      <c r="B5" s="22" t="s">
        <v>2409</v>
      </c>
      <c r="C5" s="22" t="s">
        <v>751</v>
      </c>
      <c r="D5" s="271" t="s">
        <v>2410</v>
      </c>
      <c r="E5" s="271" t="s">
        <v>2411</v>
      </c>
      <c r="F5" s="23" t="s">
        <v>2412</v>
      </c>
      <c r="G5" s="24">
        <v>5.54</v>
      </c>
      <c r="H5" s="25">
        <v>120</v>
      </c>
      <c r="I5" s="26" t="s">
        <v>2413</v>
      </c>
      <c r="J5" s="501">
        <v>1012718</v>
      </c>
      <c r="K5" s="501">
        <v>252000</v>
      </c>
      <c r="L5" s="502" t="s">
        <v>632</v>
      </c>
      <c r="M5" s="502" t="s">
        <v>631</v>
      </c>
      <c r="N5" s="503" t="s">
        <v>783</v>
      </c>
      <c r="O5" s="503" t="s">
        <v>784</v>
      </c>
      <c r="P5" s="503" t="s">
        <v>785</v>
      </c>
      <c r="Q5" s="502">
        <v>22.5</v>
      </c>
      <c r="R5" s="502">
        <v>42</v>
      </c>
      <c r="S5" s="502">
        <v>36</v>
      </c>
      <c r="T5" s="502">
        <v>3</v>
      </c>
      <c r="U5" s="502"/>
      <c r="V5" s="503">
        <v>5.2</v>
      </c>
      <c r="W5" s="504">
        <v>0.1</v>
      </c>
      <c r="X5" s="502">
        <v>5</v>
      </c>
      <c r="Y5" s="502">
        <v>300</v>
      </c>
      <c r="Z5" s="502">
        <v>40.3</v>
      </c>
      <c r="AA5" s="505"/>
      <c r="AB5" s="506"/>
      <c r="AC5" s="504" t="s">
        <v>633</v>
      </c>
      <c r="AD5" s="504">
        <v>0.2</v>
      </c>
      <c r="AE5" s="504">
        <v>0.05</v>
      </c>
      <c r="AF5" s="504"/>
      <c r="AG5" s="507">
        <v>0.15</v>
      </c>
      <c r="AH5" s="508"/>
      <c r="AI5" s="508"/>
      <c r="AJ5" s="502">
        <v>1527</v>
      </c>
      <c r="AK5" s="20">
        <v>36.357142857142854</v>
      </c>
      <c r="AL5" s="20">
        <v>37.8908188585608</v>
      </c>
      <c r="AM5" s="20"/>
      <c r="AN5" s="20">
        <v>5</v>
      </c>
      <c r="AO5" s="26"/>
      <c r="AP5" s="27">
        <v>6</v>
      </c>
      <c r="AQ5" s="20">
        <v>2</v>
      </c>
      <c r="AR5" s="20"/>
      <c r="AS5" s="20">
        <v>38</v>
      </c>
      <c r="AT5" s="25"/>
    </row>
    <row r="6" spans="1:46" ht="288">
      <c r="A6" s="21">
        <v>2</v>
      </c>
      <c r="B6" s="274" t="s">
        <v>2415</v>
      </c>
      <c r="C6" s="274" t="s">
        <v>751</v>
      </c>
      <c r="D6" s="274" t="s">
        <v>718</v>
      </c>
      <c r="E6" s="274" t="s">
        <v>2411</v>
      </c>
      <c r="F6" s="274" t="s">
        <v>2416</v>
      </c>
      <c r="G6" s="275">
        <v>3.48</v>
      </c>
      <c r="H6" s="276">
        <v>73.2</v>
      </c>
      <c r="I6" s="276" t="s">
        <v>777</v>
      </c>
      <c r="J6" s="276">
        <v>1013135</v>
      </c>
      <c r="K6" s="276">
        <v>252322</v>
      </c>
      <c r="L6" s="276" t="s">
        <v>1611</v>
      </c>
      <c r="M6" s="272" t="s">
        <v>2414</v>
      </c>
      <c r="N6" s="276" t="s">
        <v>783</v>
      </c>
      <c r="O6" s="276" t="s">
        <v>784</v>
      </c>
      <c r="P6" s="276" t="s">
        <v>785</v>
      </c>
      <c r="Q6" s="276">
        <v>23</v>
      </c>
      <c r="R6" s="276">
        <v>26</v>
      </c>
      <c r="S6" s="276">
        <v>22</v>
      </c>
      <c r="T6" s="276">
        <v>1.2</v>
      </c>
      <c r="U6" s="276"/>
      <c r="V6" s="276">
        <v>3.4</v>
      </c>
      <c r="W6" s="277">
        <v>0.05</v>
      </c>
      <c r="X6" s="276">
        <v>2.8</v>
      </c>
      <c r="Y6" s="276">
        <v>131</v>
      </c>
      <c r="Z6" s="276">
        <v>25</v>
      </c>
      <c r="AA6" s="274"/>
      <c r="AB6" s="277"/>
      <c r="AC6" s="277" t="s">
        <v>1428</v>
      </c>
      <c r="AD6" s="277">
        <v>0.1</v>
      </c>
      <c r="AE6" s="277">
        <v>0.04</v>
      </c>
      <c r="AF6" s="277"/>
      <c r="AG6" s="277">
        <v>0.09</v>
      </c>
      <c r="AH6" s="278"/>
      <c r="AI6" s="278"/>
      <c r="AJ6" s="276">
        <v>1105</v>
      </c>
      <c r="AK6" s="20">
        <v>42.5</v>
      </c>
      <c r="AL6" s="20">
        <v>44.2</v>
      </c>
      <c r="AM6" s="276"/>
      <c r="AN6" s="276"/>
      <c r="AO6" s="276"/>
      <c r="AP6" s="276"/>
      <c r="AQ6" s="276"/>
      <c r="AR6" s="276"/>
      <c r="AS6" s="276">
        <v>73</v>
      </c>
      <c r="AT6" s="276"/>
    </row>
    <row r="7" spans="1:46" ht="288">
      <c r="A7" s="21">
        <v>3</v>
      </c>
      <c r="B7" s="274" t="s">
        <v>2417</v>
      </c>
      <c r="C7" s="274" t="s">
        <v>751</v>
      </c>
      <c r="D7" s="274" t="s">
        <v>718</v>
      </c>
      <c r="E7" s="274" t="s">
        <v>2411</v>
      </c>
      <c r="F7" s="274" t="s">
        <v>2416</v>
      </c>
      <c r="G7" s="275">
        <v>6.5</v>
      </c>
      <c r="H7" s="276">
        <v>134</v>
      </c>
      <c r="I7" s="276" t="s">
        <v>2418</v>
      </c>
      <c r="J7" s="276">
        <v>1013742</v>
      </c>
      <c r="K7" s="276">
        <v>251633</v>
      </c>
      <c r="L7" s="276" t="s">
        <v>1611</v>
      </c>
      <c r="M7" s="272" t="s">
        <v>2414</v>
      </c>
      <c r="N7" s="276" t="s">
        <v>783</v>
      </c>
      <c r="O7" s="276" t="s">
        <v>784</v>
      </c>
      <c r="P7" s="276" t="s">
        <v>785</v>
      </c>
      <c r="Q7" s="276">
        <v>11</v>
      </c>
      <c r="R7" s="276">
        <v>14</v>
      </c>
      <c r="S7" s="276">
        <v>11.2</v>
      </c>
      <c r="T7" s="276">
        <v>1</v>
      </c>
      <c r="U7" s="276"/>
      <c r="V7" s="276">
        <v>2.5</v>
      </c>
      <c r="W7" s="277">
        <v>0.03</v>
      </c>
      <c r="X7" s="276"/>
      <c r="Y7" s="276"/>
      <c r="Z7" s="276">
        <v>15</v>
      </c>
      <c r="AA7" s="274"/>
      <c r="AB7" s="277"/>
      <c r="AC7" s="277"/>
      <c r="AD7" s="277"/>
      <c r="AE7" s="277"/>
      <c r="AF7" s="277"/>
      <c r="AG7" s="277">
        <v>0.052</v>
      </c>
      <c r="AH7" s="278"/>
      <c r="AI7" s="278"/>
      <c r="AJ7" s="276">
        <v>620</v>
      </c>
      <c r="AK7" s="20">
        <v>44.285714285714285</v>
      </c>
      <c r="AL7" s="20">
        <v>41.333333333333336</v>
      </c>
      <c r="AM7" s="276"/>
      <c r="AN7" s="276">
        <v>1</v>
      </c>
      <c r="AO7" s="276"/>
      <c r="AP7" s="276">
        <v>2</v>
      </c>
      <c r="AQ7" s="276">
        <v>0</v>
      </c>
      <c r="AR7" s="276"/>
      <c r="AS7" s="276"/>
      <c r="AT7" s="276"/>
    </row>
    <row r="8" spans="1:46" ht="288">
      <c r="A8" s="21">
        <v>4</v>
      </c>
      <c r="B8" s="274" t="s">
        <v>2419</v>
      </c>
      <c r="C8" s="274" t="s">
        <v>751</v>
      </c>
      <c r="D8" s="274" t="s">
        <v>718</v>
      </c>
      <c r="E8" s="274" t="s">
        <v>2411</v>
      </c>
      <c r="F8" s="274" t="s">
        <v>2420</v>
      </c>
      <c r="G8" s="275">
        <v>5.4</v>
      </c>
      <c r="H8" s="276">
        <v>116.4</v>
      </c>
      <c r="I8" s="276" t="s">
        <v>2421</v>
      </c>
      <c r="J8" s="276">
        <v>1014235</v>
      </c>
      <c r="K8" s="276">
        <v>253034</v>
      </c>
      <c r="L8" s="276" t="s">
        <v>1611</v>
      </c>
      <c r="M8" s="272" t="s">
        <v>2414</v>
      </c>
      <c r="N8" s="276" t="s">
        <v>783</v>
      </c>
      <c r="O8" s="276" t="s">
        <v>784</v>
      </c>
      <c r="P8" s="276" t="s">
        <v>785</v>
      </c>
      <c r="Q8" s="276">
        <v>21</v>
      </c>
      <c r="R8" s="276">
        <v>22</v>
      </c>
      <c r="S8" s="276">
        <v>19</v>
      </c>
      <c r="T8" s="276">
        <v>1.5</v>
      </c>
      <c r="U8" s="276">
        <v>2.4</v>
      </c>
      <c r="V8" s="276">
        <v>3.6</v>
      </c>
      <c r="W8" s="277">
        <v>0.03</v>
      </c>
      <c r="X8" s="276">
        <v>4</v>
      </c>
      <c r="Y8" s="276">
        <v>80</v>
      </c>
      <c r="Z8" s="276">
        <v>25</v>
      </c>
      <c r="AA8" s="274"/>
      <c r="AB8" s="277"/>
      <c r="AC8" s="277" t="s">
        <v>2422</v>
      </c>
      <c r="AD8" s="277">
        <v>0.045</v>
      </c>
      <c r="AE8" s="277">
        <v>0.038</v>
      </c>
      <c r="AF8" s="277">
        <v>0.035</v>
      </c>
      <c r="AG8" s="277">
        <v>0.012</v>
      </c>
      <c r="AH8" s="278"/>
      <c r="AI8" s="278"/>
      <c r="AJ8" s="276">
        <v>1092</v>
      </c>
      <c r="AK8" s="20">
        <v>49.63636363636363</v>
      </c>
      <c r="AL8" s="20">
        <v>43.68</v>
      </c>
      <c r="AM8" s="276"/>
      <c r="AN8" s="276">
        <v>5</v>
      </c>
      <c r="AO8" s="276"/>
      <c r="AP8" s="276"/>
      <c r="AQ8" s="276">
        <v>7.6</v>
      </c>
      <c r="AR8" s="276"/>
      <c r="AS8" s="276"/>
      <c r="AT8" s="276"/>
    </row>
    <row r="9" spans="1:46" ht="288">
      <c r="A9" s="21">
        <v>5</v>
      </c>
      <c r="B9" s="274" t="s">
        <v>2423</v>
      </c>
      <c r="C9" s="274" t="s">
        <v>751</v>
      </c>
      <c r="D9" s="274" t="s">
        <v>718</v>
      </c>
      <c r="E9" s="274" t="s">
        <v>2411</v>
      </c>
      <c r="F9" s="274" t="s">
        <v>2424</v>
      </c>
      <c r="G9" s="275">
        <v>3.6</v>
      </c>
      <c r="H9" s="276">
        <v>78</v>
      </c>
      <c r="I9" s="276" t="s">
        <v>2425</v>
      </c>
      <c r="J9" s="276">
        <v>1013521</v>
      </c>
      <c r="K9" s="276">
        <v>253633</v>
      </c>
      <c r="L9" s="276" t="s">
        <v>1611</v>
      </c>
      <c r="M9" s="272" t="s">
        <v>2414</v>
      </c>
      <c r="N9" s="276" t="s">
        <v>783</v>
      </c>
      <c r="O9" s="276" t="s">
        <v>784</v>
      </c>
      <c r="P9" s="276" t="s">
        <v>785</v>
      </c>
      <c r="Q9" s="276">
        <v>26</v>
      </c>
      <c r="R9" s="276">
        <v>25</v>
      </c>
      <c r="S9" s="276">
        <v>20</v>
      </c>
      <c r="T9" s="276">
        <v>1</v>
      </c>
      <c r="U9" s="276">
        <v>4</v>
      </c>
      <c r="V9" s="276">
        <v>4</v>
      </c>
      <c r="W9" s="277">
        <v>0.03</v>
      </c>
      <c r="X9" s="276">
        <v>3</v>
      </c>
      <c r="Y9" s="276">
        <v>190</v>
      </c>
      <c r="Z9" s="276">
        <v>21</v>
      </c>
      <c r="AA9" s="274"/>
      <c r="AB9" s="277"/>
      <c r="AC9" s="277" t="s">
        <v>2426</v>
      </c>
      <c r="AD9" s="277">
        <v>0.09</v>
      </c>
      <c r="AE9" s="277">
        <v>0.112</v>
      </c>
      <c r="AF9" s="277">
        <v>0.02</v>
      </c>
      <c r="AG9" s="277">
        <v>0.027</v>
      </c>
      <c r="AH9" s="278"/>
      <c r="AI9" s="278"/>
      <c r="AJ9" s="276">
        <v>1040</v>
      </c>
      <c r="AK9" s="20">
        <v>41.6</v>
      </c>
      <c r="AL9" s="20">
        <v>49.523809523809526</v>
      </c>
      <c r="AM9" s="276">
        <v>0</v>
      </c>
      <c r="AN9" s="276">
        <v>0</v>
      </c>
      <c r="AO9" s="276">
        <v>0</v>
      </c>
      <c r="AP9" s="276">
        <v>0</v>
      </c>
      <c r="AQ9" s="276">
        <v>0</v>
      </c>
      <c r="AR9" s="276">
        <v>80</v>
      </c>
      <c r="AS9" s="276">
        <v>0</v>
      </c>
      <c r="AT9" s="276">
        <v>0</v>
      </c>
    </row>
    <row r="10" spans="1:46" ht="288">
      <c r="A10" s="21">
        <v>6</v>
      </c>
      <c r="B10" s="274" t="s">
        <v>2427</v>
      </c>
      <c r="C10" s="274" t="s">
        <v>751</v>
      </c>
      <c r="D10" s="274" t="s">
        <v>718</v>
      </c>
      <c r="E10" s="274" t="s">
        <v>2428</v>
      </c>
      <c r="F10" s="274" t="s">
        <v>2429</v>
      </c>
      <c r="G10" s="275">
        <v>3.1</v>
      </c>
      <c r="H10" s="276">
        <v>69.6</v>
      </c>
      <c r="I10" s="276" t="s">
        <v>2430</v>
      </c>
      <c r="J10" s="276">
        <v>1014021</v>
      </c>
      <c r="K10" s="276">
        <v>251657</v>
      </c>
      <c r="L10" s="276" t="s">
        <v>1611</v>
      </c>
      <c r="M10" s="272" t="s">
        <v>2431</v>
      </c>
      <c r="N10" s="276" t="s">
        <v>783</v>
      </c>
      <c r="O10" s="276" t="s">
        <v>784</v>
      </c>
      <c r="P10" s="276" t="s">
        <v>785</v>
      </c>
      <c r="Q10" s="276">
        <v>11</v>
      </c>
      <c r="R10" s="276">
        <v>14.9</v>
      </c>
      <c r="S10" s="276">
        <v>11.9</v>
      </c>
      <c r="T10" s="276">
        <v>0.5</v>
      </c>
      <c r="U10" s="276">
        <v>2.5</v>
      </c>
      <c r="V10" s="276">
        <v>3.5</v>
      </c>
      <c r="W10" s="277">
        <v>0.04</v>
      </c>
      <c r="X10" s="276"/>
      <c r="Y10" s="276"/>
      <c r="Z10" s="276">
        <v>16</v>
      </c>
      <c r="AA10" s="274"/>
      <c r="AB10" s="277"/>
      <c r="AC10" s="277"/>
      <c r="AD10" s="277"/>
      <c r="AE10" s="277"/>
      <c r="AF10" s="277"/>
      <c r="AG10" s="277">
        <v>0.056</v>
      </c>
      <c r="AH10" s="278"/>
      <c r="AI10" s="278"/>
      <c r="AJ10" s="276">
        <v>495</v>
      </c>
      <c r="AK10" s="20">
        <v>33.22147651006711</v>
      </c>
      <c r="AL10" s="20">
        <v>30.9375</v>
      </c>
      <c r="AM10" s="276"/>
      <c r="AN10" s="276">
        <v>1</v>
      </c>
      <c r="AO10" s="276"/>
      <c r="AP10" s="276">
        <v>0.5</v>
      </c>
      <c r="AQ10" s="276">
        <v>0</v>
      </c>
      <c r="AR10" s="276"/>
      <c r="AS10" s="276"/>
      <c r="AT10" s="276"/>
    </row>
    <row r="11" spans="1:46" ht="288">
      <c r="A11" s="21">
        <v>7</v>
      </c>
      <c r="B11" s="274" t="s">
        <v>2432</v>
      </c>
      <c r="C11" s="274" t="s">
        <v>751</v>
      </c>
      <c r="D11" s="274" t="s">
        <v>718</v>
      </c>
      <c r="E11" s="274" t="s">
        <v>2428</v>
      </c>
      <c r="F11" s="274" t="s">
        <v>2429</v>
      </c>
      <c r="G11" s="275">
        <v>3</v>
      </c>
      <c r="H11" s="276">
        <v>71</v>
      </c>
      <c r="I11" s="276" t="s">
        <v>2433</v>
      </c>
      <c r="J11" s="276">
        <v>1012933</v>
      </c>
      <c r="K11" s="276">
        <v>251821</v>
      </c>
      <c r="L11" s="276" t="s">
        <v>1611</v>
      </c>
      <c r="M11" s="272" t="s">
        <v>2431</v>
      </c>
      <c r="N11" s="276" t="s">
        <v>783</v>
      </c>
      <c r="O11" s="276" t="s">
        <v>784</v>
      </c>
      <c r="P11" s="276" t="s">
        <v>2434</v>
      </c>
      <c r="Q11" s="276">
        <v>22</v>
      </c>
      <c r="R11" s="276">
        <v>25</v>
      </c>
      <c r="S11" s="276">
        <v>20</v>
      </c>
      <c r="T11" s="276">
        <v>2</v>
      </c>
      <c r="U11" s="276">
        <v>2</v>
      </c>
      <c r="V11" s="276">
        <v>3.5</v>
      </c>
      <c r="W11" s="277">
        <v>0.04</v>
      </c>
      <c r="X11" s="276"/>
      <c r="Y11" s="276"/>
      <c r="Z11" s="276">
        <v>22.1</v>
      </c>
      <c r="AA11" s="274"/>
      <c r="AB11" s="277"/>
      <c r="AC11" s="277"/>
      <c r="AD11" s="277"/>
      <c r="AE11" s="277"/>
      <c r="AF11" s="277">
        <v>0.042</v>
      </c>
      <c r="AG11" s="277">
        <v>0.021</v>
      </c>
      <c r="AH11" s="278">
        <v>0.076</v>
      </c>
      <c r="AI11" s="278">
        <v>0.063</v>
      </c>
      <c r="AJ11" s="276">
        <v>1050</v>
      </c>
      <c r="AK11" s="20">
        <v>42</v>
      </c>
      <c r="AL11" s="20">
        <v>47.511312217194565</v>
      </c>
      <c r="AM11" s="276"/>
      <c r="AN11" s="276">
        <v>6</v>
      </c>
      <c r="AO11" s="276"/>
      <c r="AP11" s="276">
        <v>9</v>
      </c>
      <c r="AQ11" s="276">
        <v>2</v>
      </c>
      <c r="AR11" s="276"/>
      <c r="AS11" s="276"/>
      <c r="AT11" s="276"/>
    </row>
    <row r="12" spans="1:46" ht="288">
      <c r="A12" s="21">
        <v>8</v>
      </c>
      <c r="B12" s="279" t="s">
        <v>1437</v>
      </c>
      <c r="C12" s="279" t="s">
        <v>751</v>
      </c>
      <c r="D12" s="279" t="s">
        <v>2435</v>
      </c>
      <c r="E12" s="279" t="s">
        <v>716</v>
      </c>
      <c r="F12" s="280" t="s">
        <v>778</v>
      </c>
      <c r="G12" s="281">
        <v>1.2</v>
      </c>
      <c r="H12" s="282">
        <v>30.4</v>
      </c>
      <c r="I12" s="272" t="s">
        <v>2436</v>
      </c>
      <c r="J12" s="276">
        <v>1013138</v>
      </c>
      <c r="K12" s="276">
        <v>251651</v>
      </c>
      <c r="L12" s="283" t="s">
        <v>2437</v>
      </c>
      <c r="M12" s="282" t="s">
        <v>2438</v>
      </c>
      <c r="N12" s="272" t="s">
        <v>783</v>
      </c>
      <c r="O12" s="272" t="s">
        <v>784</v>
      </c>
      <c r="P12" s="272" t="s">
        <v>785</v>
      </c>
      <c r="Q12" s="272">
        <v>12</v>
      </c>
      <c r="R12" s="282">
        <v>13.2</v>
      </c>
      <c r="S12" s="282">
        <v>11</v>
      </c>
      <c r="T12" s="272">
        <v>1</v>
      </c>
      <c r="U12" s="272"/>
      <c r="V12" s="272">
        <v>3.1</v>
      </c>
      <c r="W12" s="273">
        <v>0.07</v>
      </c>
      <c r="X12" s="272"/>
      <c r="Y12" s="272"/>
      <c r="Z12" s="282">
        <v>14.3</v>
      </c>
      <c r="AA12" s="284"/>
      <c r="AB12" s="273"/>
      <c r="AC12" s="273"/>
      <c r="AD12" s="277"/>
      <c r="AE12" s="277"/>
      <c r="AF12" s="285"/>
      <c r="AG12" s="285">
        <v>0.07</v>
      </c>
      <c r="AH12" s="284"/>
      <c r="AI12" s="284"/>
      <c r="AJ12" s="286">
        <v>485</v>
      </c>
      <c r="AK12" s="272">
        <v>36.74242424242424</v>
      </c>
      <c r="AL12" s="272">
        <v>33.91608391608391</v>
      </c>
      <c r="AM12" s="272"/>
      <c r="AN12" s="272"/>
      <c r="AO12" s="272"/>
      <c r="AP12" s="287"/>
      <c r="AQ12" s="287"/>
      <c r="AR12" s="272"/>
      <c r="AS12" s="272"/>
      <c r="AT12" s="283"/>
    </row>
    <row r="13" spans="1:46" ht="288">
      <c r="A13" s="21">
        <v>9</v>
      </c>
      <c r="B13" s="279" t="s">
        <v>2439</v>
      </c>
      <c r="C13" s="279" t="s">
        <v>751</v>
      </c>
      <c r="D13" s="279" t="s">
        <v>2435</v>
      </c>
      <c r="E13" s="279" t="s">
        <v>716</v>
      </c>
      <c r="F13" s="280" t="s">
        <v>779</v>
      </c>
      <c r="G13" s="281">
        <v>2.12</v>
      </c>
      <c r="H13" s="282">
        <v>53.92</v>
      </c>
      <c r="I13" s="272" t="s">
        <v>2440</v>
      </c>
      <c r="J13" s="276">
        <v>1013552</v>
      </c>
      <c r="K13" s="276">
        <v>252952</v>
      </c>
      <c r="L13" s="283" t="s">
        <v>2437</v>
      </c>
      <c r="M13" s="282" t="s">
        <v>2438</v>
      </c>
      <c r="N13" s="272" t="s">
        <v>783</v>
      </c>
      <c r="O13" s="272" t="s">
        <v>784</v>
      </c>
      <c r="P13" s="272" t="s">
        <v>785</v>
      </c>
      <c r="Q13" s="272">
        <v>20.5</v>
      </c>
      <c r="R13" s="282">
        <v>30.42</v>
      </c>
      <c r="S13" s="282">
        <v>26</v>
      </c>
      <c r="T13" s="272">
        <v>1</v>
      </c>
      <c r="U13" s="272"/>
      <c r="V13" s="272">
        <v>1.5</v>
      </c>
      <c r="W13" s="273">
        <v>0.07</v>
      </c>
      <c r="X13" s="272"/>
      <c r="Y13" s="272">
        <v>100</v>
      </c>
      <c r="Z13" s="282">
        <v>33.8</v>
      </c>
      <c r="AA13" s="284"/>
      <c r="AB13" s="273"/>
      <c r="AC13" s="273" t="s">
        <v>2441</v>
      </c>
      <c r="AD13" s="277">
        <v>0.056</v>
      </c>
      <c r="AE13" s="277">
        <v>0.0546</v>
      </c>
      <c r="AF13" s="285">
        <v>0.066</v>
      </c>
      <c r="AG13" s="285">
        <v>0.01</v>
      </c>
      <c r="AH13" s="284"/>
      <c r="AI13" s="284"/>
      <c r="AJ13" s="286">
        <v>1045.5</v>
      </c>
      <c r="AK13" s="272">
        <v>34.36883629191321</v>
      </c>
      <c r="AL13" s="272">
        <v>30.931952662721898</v>
      </c>
      <c r="AM13" s="272"/>
      <c r="AN13" s="272">
        <v>8</v>
      </c>
      <c r="AO13" s="272"/>
      <c r="AP13" s="287">
        <v>10.5</v>
      </c>
      <c r="AQ13" s="287">
        <v>5</v>
      </c>
      <c r="AR13" s="272"/>
      <c r="AS13" s="272">
        <v>6.3</v>
      </c>
      <c r="AT13" s="283"/>
    </row>
    <row r="14" spans="1:46" ht="288">
      <c r="A14" s="21">
        <v>10</v>
      </c>
      <c r="B14" s="279" t="s">
        <v>2442</v>
      </c>
      <c r="C14" s="279" t="s">
        <v>751</v>
      </c>
      <c r="D14" s="279" t="s">
        <v>2435</v>
      </c>
      <c r="E14" s="279" t="s">
        <v>716</v>
      </c>
      <c r="F14" s="280" t="s">
        <v>778</v>
      </c>
      <c r="G14" s="281">
        <v>5.5</v>
      </c>
      <c r="H14" s="282">
        <v>113.5</v>
      </c>
      <c r="I14" s="272" t="s">
        <v>2443</v>
      </c>
      <c r="J14" s="276">
        <v>1012929</v>
      </c>
      <c r="K14" s="276">
        <v>251827</v>
      </c>
      <c r="L14" s="283" t="s">
        <v>2437</v>
      </c>
      <c r="M14" s="282" t="s">
        <v>2438</v>
      </c>
      <c r="N14" s="272" t="s">
        <v>783</v>
      </c>
      <c r="O14" s="272" t="s">
        <v>784</v>
      </c>
      <c r="P14" s="272" t="s">
        <v>2434</v>
      </c>
      <c r="Q14" s="272">
        <v>45</v>
      </c>
      <c r="R14" s="282">
        <v>50</v>
      </c>
      <c r="S14" s="282">
        <v>41</v>
      </c>
      <c r="T14" s="272">
        <v>4</v>
      </c>
      <c r="U14" s="272"/>
      <c r="V14" s="272">
        <v>6.8</v>
      </c>
      <c r="W14" s="273">
        <v>0.12</v>
      </c>
      <c r="X14" s="272"/>
      <c r="Y14" s="272"/>
      <c r="Z14" s="282">
        <v>53.3</v>
      </c>
      <c r="AA14" s="284"/>
      <c r="AB14" s="273"/>
      <c r="AC14" s="273"/>
      <c r="AD14" s="277"/>
      <c r="AE14" s="277"/>
      <c r="AF14" s="285">
        <v>0.13</v>
      </c>
      <c r="AG14" s="285">
        <v>0</v>
      </c>
      <c r="AH14" s="284"/>
      <c r="AI14" s="284"/>
      <c r="AJ14" s="286">
        <v>1760</v>
      </c>
      <c r="AK14" s="272">
        <v>35.2</v>
      </c>
      <c r="AL14" s="272">
        <v>33.02063789868668</v>
      </c>
      <c r="AM14" s="272"/>
      <c r="AN14" s="272">
        <v>20</v>
      </c>
      <c r="AO14" s="272"/>
      <c r="AP14" s="287">
        <v>38</v>
      </c>
      <c r="AQ14" s="287">
        <v>0</v>
      </c>
      <c r="AR14" s="272"/>
      <c r="AS14" s="272"/>
      <c r="AT14" s="283"/>
    </row>
    <row r="15" spans="1:46" ht="288">
      <c r="A15" s="21">
        <v>11</v>
      </c>
      <c r="B15" s="279" t="s">
        <v>1438</v>
      </c>
      <c r="C15" s="279" t="s">
        <v>751</v>
      </c>
      <c r="D15" s="279" t="s">
        <v>2435</v>
      </c>
      <c r="E15" s="279" t="s">
        <v>716</v>
      </c>
      <c r="F15" s="280" t="s">
        <v>778</v>
      </c>
      <c r="G15" s="281">
        <v>1.8</v>
      </c>
      <c r="H15" s="282">
        <v>40</v>
      </c>
      <c r="I15" s="272" t="s">
        <v>2444</v>
      </c>
      <c r="J15" s="276">
        <v>101342</v>
      </c>
      <c r="K15" s="276">
        <v>251648</v>
      </c>
      <c r="L15" s="283" t="s">
        <v>2437</v>
      </c>
      <c r="M15" s="282" t="s">
        <v>2438</v>
      </c>
      <c r="N15" s="272" t="s">
        <v>783</v>
      </c>
      <c r="O15" s="272" t="s">
        <v>784</v>
      </c>
      <c r="P15" s="272" t="s">
        <v>785</v>
      </c>
      <c r="Q15" s="272">
        <v>21</v>
      </c>
      <c r="R15" s="282">
        <v>22</v>
      </c>
      <c r="S15" s="282">
        <v>17</v>
      </c>
      <c r="T15" s="272">
        <v>1.1</v>
      </c>
      <c r="U15" s="272"/>
      <c r="V15" s="272">
        <v>3.6</v>
      </c>
      <c r="W15" s="273">
        <v>0.03</v>
      </c>
      <c r="X15" s="272"/>
      <c r="Y15" s="272">
        <v>300</v>
      </c>
      <c r="Z15" s="282">
        <v>20</v>
      </c>
      <c r="AA15" s="284"/>
      <c r="AB15" s="273"/>
      <c r="AC15" s="273" t="s">
        <v>2445</v>
      </c>
      <c r="AD15" s="277">
        <v>0.1219</v>
      </c>
      <c r="AE15" s="277">
        <v>0.2</v>
      </c>
      <c r="AF15" s="285">
        <v>0.01</v>
      </c>
      <c r="AG15" s="285">
        <v>0.03</v>
      </c>
      <c r="AH15" s="284"/>
      <c r="AI15" s="284"/>
      <c r="AJ15" s="286">
        <v>750</v>
      </c>
      <c r="AK15" s="272">
        <v>34.09090909090909</v>
      </c>
      <c r="AL15" s="272">
        <v>37.5</v>
      </c>
      <c r="AM15" s="272">
        <v>0</v>
      </c>
      <c r="AN15" s="272">
        <v>1</v>
      </c>
      <c r="AO15" s="272">
        <v>0</v>
      </c>
      <c r="AP15" s="287">
        <v>0</v>
      </c>
      <c r="AQ15" s="287">
        <v>1.3</v>
      </c>
      <c r="AR15" s="272">
        <v>0</v>
      </c>
      <c r="AS15" s="272">
        <v>0</v>
      </c>
      <c r="AT15" s="283">
        <v>0</v>
      </c>
    </row>
    <row r="16" spans="1:46" ht="288">
      <c r="A16" s="21">
        <v>12</v>
      </c>
      <c r="B16" s="279" t="s">
        <v>2446</v>
      </c>
      <c r="C16" s="279" t="s">
        <v>751</v>
      </c>
      <c r="D16" s="279" t="s">
        <v>2435</v>
      </c>
      <c r="E16" s="279" t="s">
        <v>716</v>
      </c>
      <c r="F16" s="280" t="s">
        <v>730</v>
      </c>
      <c r="G16" s="281">
        <v>3.8</v>
      </c>
      <c r="H16" s="282">
        <v>85</v>
      </c>
      <c r="I16" s="272" t="s">
        <v>2447</v>
      </c>
      <c r="J16" s="276">
        <v>1013648</v>
      </c>
      <c r="K16" s="276">
        <v>252502</v>
      </c>
      <c r="L16" s="283" t="s">
        <v>2437</v>
      </c>
      <c r="M16" s="282" t="s">
        <v>2438</v>
      </c>
      <c r="N16" s="272" t="s">
        <v>2448</v>
      </c>
      <c r="O16" s="272" t="s">
        <v>2449</v>
      </c>
      <c r="P16" s="272" t="s">
        <v>785</v>
      </c>
      <c r="Q16" s="272">
        <v>20</v>
      </c>
      <c r="R16" s="282">
        <v>26</v>
      </c>
      <c r="S16" s="282">
        <v>21</v>
      </c>
      <c r="T16" s="272">
        <v>0.8</v>
      </c>
      <c r="U16" s="272"/>
      <c r="V16" s="272">
        <v>1.8</v>
      </c>
      <c r="W16" s="273">
        <v>0.05</v>
      </c>
      <c r="X16" s="272">
        <v>0</v>
      </c>
      <c r="Y16" s="272">
        <v>250</v>
      </c>
      <c r="Z16" s="282">
        <v>25</v>
      </c>
      <c r="AA16" s="284"/>
      <c r="AB16" s="273"/>
      <c r="AC16" s="273" t="s">
        <v>2450</v>
      </c>
      <c r="AD16" s="277">
        <v>0.1361</v>
      </c>
      <c r="AE16" s="277">
        <v>0.1429</v>
      </c>
      <c r="AF16" s="285">
        <v>0.02</v>
      </c>
      <c r="AG16" s="285">
        <v>0.032</v>
      </c>
      <c r="AH16" s="284"/>
      <c r="AI16" s="284"/>
      <c r="AJ16" s="286">
        <v>980</v>
      </c>
      <c r="AK16" s="272">
        <v>37.69230769230769</v>
      </c>
      <c r="AL16" s="272">
        <v>39.2</v>
      </c>
      <c r="AM16" s="272"/>
      <c r="AN16" s="272">
        <v>1</v>
      </c>
      <c r="AO16" s="272"/>
      <c r="AP16" s="287">
        <v>0.08</v>
      </c>
      <c r="AQ16" s="287">
        <v>0.02</v>
      </c>
      <c r="AR16" s="272">
        <v>0</v>
      </c>
      <c r="AS16" s="272">
        <v>0</v>
      </c>
      <c r="AT16" s="283">
        <v>0</v>
      </c>
    </row>
    <row r="17" spans="1:46" ht="288">
      <c r="A17" s="21">
        <v>13</v>
      </c>
      <c r="B17" s="279" t="s">
        <v>2451</v>
      </c>
      <c r="C17" s="279" t="s">
        <v>751</v>
      </c>
      <c r="D17" s="279" t="s">
        <v>2435</v>
      </c>
      <c r="E17" s="279" t="s">
        <v>716</v>
      </c>
      <c r="F17" s="280" t="s">
        <v>730</v>
      </c>
      <c r="G17" s="281">
        <v>2.4</v>
      </c>
      <c r="H17" s="282">
        <v>50</v>
      </c>
      <c r="I17" s="272" t="s">
        <v>2452</v>
      </c>
      <c r="J17" s="276">
        <v>1014022</v>
      </c>
      <c r="K17" s="276">
        <v>252420</v>
      </c>
      <c r="L17" s="283" t="s">
        <v>2437</v>
      </c>
      <c r="M17" s="282" t="s">
        <v>2438</v>
      </c>
      <c r="N17" s="272" t="s">
        <v>2448</v>
      </c>
      <c r="O17" s="272" t="s">
        <v>2449</v>
      </c>
      <c r="P17" s="272" t="s">
        <v>785</v>
      </c>
      <c r="Q17" s="272">
        <v>25</v>
      </c>
      <c r="R17" s="282">
        <v>19</v>
      </c>
      <c r="S17" s="282">
        <v>17</v>
      </c>
      <c r="T17" s="272">
        <v>0.5</v>
      </c>
      <c r="U17" s="272"/>
      <c r="V17" s="272">
        <v>3</v>
      </c>
      <c r="W17" s="273">
        <v>0.03</v>
      </c>
      <c r="X17" s="272">
        <v>0</v>
      </c>
      <c r="Y17" s="272">
        <v>300</v>
      </c>
      <c r="Z17" s="282">
        <v>19</v>
      </c>
      <c r="AA17" s="284"/>
      <c r="AB17" s="273"/>
      <c r="AC17" s="273" t="s">
        <v>2426</v>
      </c>
      <c r="AD17" s="277">
        <v>0.15</v>
      </c>
      <c r="AE17" s="277">
        <v>0.1575</v>
      </c>
      <c r="AF17" s="285">
        <v>0.01</v>
      </c>
      <c r="AG17" s="285">
        <v>0.025</v>
      </c>
      <c r="AH17" s="284"/>
      <c r="AI17" s="284"/>
      <c r="AJ17" s="286">
        <v>900</v>
      </c>
      <c r="AK17" s="272">
        <v>47.36842105263158</v>
      </c>
      <c r="AL17" s="272">
        <v>47.36842105263158</v>
      </c>
      <c r="AM17" s="272"/>
      <c r="AN17" s="272">
        <v>1</v>
      </c>
      <c r="AO17" s="272"/>
      <c r="AP17" s="287">
        <v>0.12</v>
      </c>
      <c r="AQ17" s="287">
        <v>0.03</v>
      </c>
      <c r="AR17" s="272">
        <v>0</v>
      </c>
      <c r="AS17" s="272">
        <v>0</v>
      </c>
      <c r="AT17" s="283">
        <v>0</v>
      </c>
    </row>
    <row r="18" spans="1:46" ht="288">
      <c r="A18" s="21">
        <v>14</v>
      </c>
      <c r="B18" s="279" t="s">
        <v>2453</v>
      </c>
      <c r="C18" s="279" t="s">
        <v>751</v>
      </c>
      <c r="D18" s="279" t="s">
        <v>2435</v>
      </c>
      <c r="E18" s="279" t="s">
        <v>716</v>
      </c>
      <c r="F18" s="280" t="s">
        <v>781</v>
      </c>
      <c r="G18" s="281">
        <v>2.1</v>
      </c>
      <c r="H18" s="282">
        <v>43.3</v>
      </c>
      <c r="I18" s="272" t="s">
        <v>2454</v>
      </c>
      <c r="J18" s="276">
        <v>1014543</v>
      </c>
      <c r="K18" s="276">
        <v>253128</v>
      </c>
      <c r="L18" s="283" t="s">
        <v>2455</v>
      </c>
      <c r="M18" s="282" t="s">
        <v>2456</v>
      </c>
      <c r="N18" s="272" t="s">
        <v>783</v>
      </c>
      <c r="O18" s="272" t="s">
        <v>784</v>
      </c>
      <c r="P18" s="272" t="s">
        <v>785</v>
      </c>
      <c r="Q18" s="272">
        <v>18</v>
      </c>
      <c r="R18" s="282">
        <v>25</v>
      </c>
      <c r="S18" s="282">
        <v>20</v>
      </c>
      <c r="T18" s="272">
        <v>1.5</v>
      </c>
      <c r="U18" s="272"/>
      <c r="V18" s="272">
        <v>2</v>
      </c>
      <c r="W18" s="273">
        <v>0.04</v>
      </c>
      <c r="X18" s="272"/>
      <c r="Y18" s="272"/>
      <c r="Z18" s="282">
        <v>25</v>
      </c>
      <c r="AA18" s="284"/>
      <c r="AB18" s="273"/>
      <c r="AC18" s="273"/>
      <c r="AD18" s="277"/>
      <c r="AE18" s="277"/>
      <c r="AF18" s="285">
        <v>0.03</v>
      </c>
      <c r="AG18" s="285">
        <v>0.015</v>
      </c>
      <c r="AH18" s="284"/>
      <c r="AI18" s="284"/>
      <c r="AJ18" s="286">
        <v>936</v>
      </c>
      <c r="AK18" s="272">
        <v>37.44</v>
      </c>
      <c r="AL18" s="272">
        <v>37.44</v>
      </c>
      <c r="AM18" s="272"/>
      <c r="AN18" s="272">
        <v>2</v>
      </c>
      <c r="AO18" s="272"/>
      <c r="AP18" s="287">
        <v>2.8</v>
      </c>
      <c r="AQ18" s="287"/>
      <c r="AR18" s="272">
        <v>2.2</v>
      </c>
      <c r="AS18" s="272">
        <v>6.1</v>
      </c>
      <c r="AT18" s="283"/>
    </row>
    <row r="19" spans="1:46" ht="288">
      <c r="A19" s="21">
        <v>15</v>
      </c>
      <c r="B19" s="279" t="s">
        <v>2457</v>
      </c>
      <c r="C19" s="279" t="s">
        <v>751</v>
      </c>
      <c r="D19" s="279" t="s">
        <v>2435</v>
      </c>
      <c r="E19" s="279" t="s">
        <v>716</v>
      </c>
      <c r="F19" s="280" t="s">
        <v>780</v>
      </c>
      <c r="G19" s="281">
        <v>3.1</v>
      </c>
      <c r="H19" s="282">
        <v>69.6</v>
      </c>
      <c r="I19" s="272" t="s">
        <v>2458</v>
      </c>
      <c r="J19" s="276">
        <v>1014010</v>
      </c>
      <c r="K19" s="276">
        <v>252853</v>
      </c>
      <c r="L19" s="283" t="s">
        <v>2437</v>
      </c>
      <c r="M19" s="282" t="s">
        <v>2438</v>
      </c>
      <c r="N19" s="272" t="s">
        <v>783</v>
      </c>
      <c r="O19" s="272" t="s">
        <v>784</v>
      </c>
      <c r="P19" s="272" t="s">
        <v>785</v>
      </c>
      <c r="Q19" s="272">
        <v>19</v>
      </c>
      <c r="R19" s="282">
        <v>22</v>
      </c>
      <c r="S19" s="282">
        <v>19</v>
      </c>
      <c r="T19" s="272">
        <v>2</v>
      </c>
      <c r="U19" s="272"/>
      <c r="V19" s="272">
        <v>3</v>
      </c>
      <c r="W19" s="273">
        <v>0.05</v>
      </c>
      <c r="X19" s="272"/>
      <c r="Y19" s="272"/>
      <c r="Z19" s="282">
        <v>21.84</v>
      </c>
      <c r="AA19" s="284"/>
      <c r="AB19" s="273"/>
      <c r="AC19" s="273"/>
      <c r="AD19" s="277"/>
      <c r="AE19" s="277"/>
      <c r="AF19" s="285">
        <v>0.03</v>
      </c>
      <c r="AG19" s="285">
        <v>0.023</v>
      </c>
      <c r="AH19" s="284"/>
      <c r="AI19" s="284"/>
      <c r="AJ19" s="286">
        <v>988</v>
      </c>
      <c r="AK19" s="272">
        <v>44.90909090909091</v>
      </c>
      <c r="AL19" s="272">
        <v>45.23809523809524</v>
      </c>
      <c r="AM19" s="272"/>
      <c r="AN19" s="272">
        <v>2</v>
      </c>
      <c r="AO19" s="272"/>
      <c r="AP19" s="287"/>
      <c r="AQ19" s="287">
        <v>4.1</v>
      </c>
      <c r="AR19" s="272">
        <v>1.2</v>
      </c>
      <c r="AS19" s="272">
        <v>5.4</v>
      </c>
      <c r="AT19" s="283"/>
    </row>
    <row r="20" spans="1:46" ht="288">
      <c r="A20" s="21">
        <v>16</v>
      </c>
      <c r="B20" s="288" t="s">
        <v>2459</v>
      </c>
      <c r="C20" s="279" t="s">
        <v>751</v>
      </c>
      <c r="D20" s="279" t="s">
        <v>2435</v>
      </c>
      <c r="E20" s="279" t="s">
        <v>716</v>
      </c>
      <c r="F20" s="274" t="s">
        <v>2460</v>
      </c>
      <c r="G20" s="281">
        <v>2.8</v>
      </c>
      <c r="H20" s="282">
        <v>42</v>
      </c>
      <c r="I20" s="274" t="s">
        <v>2461</v>
      </c>
      <c r="J20" s="289">
        <v>1013713</v>
      </c>
      <c r="K20" s="289">
        <v>252038</v>
      </c>
      <c r="L20" s="283" t="s">
        <v>2462</v>
      </c>
      <c r="M20" s="279" t="s">
        <v>2463</v>
      </c>
      <c r="N20" s="272" t="s">
        <v>783</v>
      </c>
      <c r="O20" s="272" t="s">
        <v>784</v>
      </c>
      <c r="P20" s="272" t="s">
        <v>785</v>
      </c>
      <c r="Q20" s="290">
        <v>19</v>
      </c>
      <c r="R20" s="281">
        <v>36.96</v>
      </c>
      <c r="S20" s="281">
        <v>22.659</v>
      </c>
      <c r="T20" s="290">
        <v>2.9568000000000003</v>
      </c>
      <c r="U20" s="272"/>
      <c r="V20" s="272">
        <v>4.8</v>
      </c>
      <c r="W20" s="5">
        <v>0.01</v>
      </c>
      <c r="X20" s="272"/>
      <c r="Y20" s="272"/>
      <c r="Z20" s="281">
        <v>27.3</v>
      </c>
      <c r="AA20" s="284"/>
      <c r="AB20" s="273"/>
      <c r="AC20" s="273"/>
      <c r="AD20" s="277"/>
      <c r="AE20" s="277"/>
      <c r="AF20" s="285">
        <v>0.05917422302158273</v>
      </c>
      <c r="AG20" s="285">
        <v>0.01</v>
      </c>
      <c r="AH20" s="284"/>
      <c r="AI20" s="284"/>
      <c r="AJ20" s="281">
        <v>1478.4</v>
      </c>
      <c r="AK20" s="290">
        <f>AJ20/R20</f>
        <v>40</v>
      </c>
      <c r="AL20" s="290">
        <f>AJ20/Z20</f>
        <v>54.15384615384615</v>
      </c>
      <c r="AM20" s="272"/>
      <c r="AN20" s="272"/>
      <c r="AO20" s="272"/>
      <c r="AP20" s="291">
        <v>19.75</v>
      </c>
      <c r="AQ20" s="291"/>
      <c r="AR20" s="290"/>
      <c r="AS20" s="290"/>
      <c r="AT20" s="292"/>
    </row>
    <row r="21" spans="1:46" ht="288">
      <c r="A21" s="21">
        <v>17</v>
      </c>
      <c r="B21" s="293" t="s">
        <v>2464</v>
      </c>
      <c r="C21" s="279" t="s">
        <v>751</v>
      </c>
      <c r="D21" s="279" t="s">
        <v>2435</v>
      </c>
      <c r="E21" s="279" t="s">
        <v>716</v>
      </c>
      <c r="F21" s="274" t="s">
        <v>2460</v>
      </c>
      <c r="G21" s="281">
        <v>3.1</v>
      </c>
      <c r="H21" s="282">
        <v>46.5</v>
      </c>
      <c r="I21" s="293" t="s">
        <v>2465</v>
      </c>
      <c r="J21" s="289">
        <v>1013713</v>
      </c>
      <c r="K21" s="289">
        <v>252038</v>
      </c>
      <c r="L21" s="283" t="s">
        <v>2455</v>
      </c>
      <c r="M21" s="279" t="s">
        <v>0</v>
      </c>
      <c r="N21" s="272" t="s">
        <v>783</v>
      </c>
      <c r="O21" s="272" t="s">
        <v>784</v>
      </c>
      <c r="P21" s="272" t="s">
        <v>785</v>
      </c>
      <c r="Q21" s="290">
        <v>25</v>
      </c>
      <c r="R21" s="281">
        <v>40.92</v>
      </c>
      <c r="S21" s="281">
        <v>25.08675</v>
      </c>
      <c r="T21" s="290">
        <v>3.2736</v>
      </c>
      <c r="U21" s="272"/>
      <c r="V21" s="272">
        <v>6</v>
      </c>
      <c r="W21" s="5">
        <v>0.01</v>
      </c>
      <c r="X21" s="272"/>
      <c r="Y21" s="272"/>
      <c r="Z21" s="281">
        <v>30.225</v>
      </c>
      <c r="AA21" s="284"/>
      <c r="AB21" s="273"/>
      <c r="AC21" s="273"/>
      <c r="AD21" s="277"/>
      <c r="AE21" s="277"/>
      <c r="AF21" s="285">
        <v>0.05</v>
      </c>
      <c r="AG21" s="285">
        <v>0.28</v>
      </c>
      <c r="AH21" s="284"/>
      <c r="AI21" s="284"/>
      <c r="AJ21" s="281">
        <v>1636.8000000000002</v>
      </c>
      <c r="AK21" s="290">
        <f aca="true" t="shared" si="0" ref="AK21:AK48">AJ21/R21</f>
        <v>40</v>
      </c>
      <c r="AL21" s="290">
        <f aca="true" t="shared" si="1" ref="AL21:AL48">AJ21/Z21</f>
        <v>54.15384615384616</v>
      </c>
      <c r="AM21" s="272"/>
      <c r="AN21" s="272"/>
      <c r="AO21" s="272"/>
      <c r="AP21" s="291"/>
      <c r="AQ21" s="291">
        <v>6.5</v>
      </c>
      <c r="AR21" s="290"/>
      <c r="AS21" s="290">
        <v>1.2</v>
      </c>
      <c r="AT21" s="292"/>
    </row>
    <row r="22" spans="1:46" ht="288">
      <c r="A22" s="21">
        <v>18</v>
      </c>
      <c r="B22" s="294" t="s">
        <v>1</v>
      </c>
      <c r="C22" s="279" t="s">
        <v>751</v>
      </c>
      <c r="D22" s="279" t="s">
        <v>2435</v>
      </c>
      <c r="E22" s="279" t="s">
        <v>716</v>
      </c>
      <c r="F22" s="28" t="s">
        <v>780</v>
      </c>
      <c r="G22" s="281">
        <v>2.9</v>
      </c>
      <c r="H22" s="282">
        <v>52.2</v>
      </c>
      <c r="I22" s="28" t="s">
        <v>787</v>
      </c>
      <c r="J22" s="295">
        <v>1013842</v>
      </c>
      <c r="K22" s="295">
        <v>252918</v>
      </c>
      <c r="L22" s="283" t="s">
        <v>2437</v>
      </c>
      <c r="M22" s="279" t="s">
        <v>2</v>
      </c>
      <c r="N22" s="272" t="s">
        <v>783</v>
      </c>
      <c r="O22" s="272" t="s">
        <v>784</v>
      </c>
      <c r="P22" s="272" t="s">
        <v>785</v>
      </c>
      <c r="Q22" s="290">
        <v>20</v>
      </c>
      <c r="R22" s="281">
        <v>45.936</v>
      </c>
      <c r="S22" s="281">
        <v>28.1619</v>
      </c>
      <c r="T22" s="290">
        <v>3.67488</v>
      </c>
      <c r="U22" s="272"/>
      <c r="V22" s="272">
        <v>1.8</v>
      </c>
      <c r="W22" s="5">
        <v>0.01</v>
      </c>
      <c r="X22" s="272"/>
      <c r="Y22" s="272"/>
      <c r="Z22" s="281">
        <v>33.93</v>
      </c>
      <c r="AA22" s="284"/>
      <c r="AB22" s="273"/>
      <c r="AC22" s="273"/>
      <c r="AD22" s="277"/>
      <c r="AE22" s="277"/>
      <c r="AF22" s="285">
        <v>0.044485017985611504</v>
      </c>
      <c r="AG22" s="285">
        <v>0.023004316546762597</v>
      </c>
      <c r="AH22" s="284"/>
      <c r="AI22" s="284"/>
      <c r="AJ22" s="281">
        <v>1837.44</v>
      </c>
      <c r="AK22" s="290">
        <f t="shared" si="0"/>
        <v>40</v>
      </c>
      <c r="AL22" s="290">
        <f t="shared" si="1"/>
        <v>54.15384615384615</v>
      </c>
      <c r="AM22" s="272"/>
      <c r="AN22" s="272"/>
      <c r="AO22" s="272"/>
      <c r="AP22" s="291">
        <v>5.23</v>
      </c>
      <c r="AQ22" s="291"/>
      <c r="AR22" s="290"/>
      <c r="AS22" s="290"/>
      <c r="AT22" s="292"/>
    </row>
    <row r="23" spans="1:46" ht="288">
      <c r="A23" s="21">
        <v>19</v>
      </c>
      <c r="B23" s="306" t="s">
        <v>788</v>
      </c>
      <c r="C23" s="279" t="s">
        <v>751</v>
      </c>
      <c r="D23" s="279" t="s">
        <v>2435</v>
      </c>
      <c r="E23" s="279" t="s">
        <v>716</v>
      </c>
      <c r="F23" s="274" t="s">
        <v>3</v>
      </c>
      <c r="G23" s="281">
        <v>2.5</v>
      </c>
      <c r="H23" s="282">
        <v>45</v>
      </c>
      <c r="I23" s="293" t="s">
        <v>789</v>
      </c>
      <c r="J23" s="295">
        <v>1012729</v>
      </c>
      <c r="K23" s="295">
        <v>251612</v>
      </c>
      <c r="L23" s="283" t="s">
        <v>2455</v>
      </c>
      <c r="M23" s="279" t="s">
        <v>0</v>
      </c>
      <c r="N23" s="272" t="s">
        <v>783</v>
      </c>
      <c r="O23" s="272" t="s">
        <v>784</v>
      </c>
      <c r="P23" s="272" t="s">
        <v>785</v>
      </c>
      <c r="Q23" s="290">
        <v>28</v>
      </c>
      <c r="R23" s="281">
        <v>39.6</v>
      </c>
      <c r="S23" s="281">
        <v>24.2775</v>
      </c>
      <c r="T23" s="290">
        <v>3.168</v>
      </c>
      <c r="U23" s="272"/>
      <c r="V23" s="272">
        <v>4.7</v>
      </c>
      <c r="W23" s="5">
        <v>0.01</v>
      </c>
      <c r="X23" s="272"/>
      <c r="Y23" s="272"/>
      <c r="Z23" s="281">
        <v>29.25</v>
      </c>
      <c r="AA23" s="284"/>
      <c r="AB23" s="273"/>
      <c r="AC23" s="273"/>
      <c r="AD23" s="277"/>
      <c r="AE23" s="277"/>
      <c r="AF23" s="285">
        <v>0.0445781654676259</v>
      </c>
      <c r="AG23" s="285">
        <v>0.02069028776978417</v>
      </c>
      <c r="AH23" s="284"/>
      <c r="AI23" s="284"/>
      <c r="AJ23" s="281">
        <v>1584</v>
      </c>
      <c r="AK23" s="290">
        <f t="shared" si="0"/>
        <v>40</v>
      </c>
      <c r="AL23" s="290">
        <f t="shared" si="1"/>
        <v>54.15384615384615</v>
      </c>
      <c r="AM23" s="272"/>
      <c r="AN23" s="272"/>
      <c r="AO23" s="272"/>
      <c r="AP23" s="291">
        <v>5.6</v>
      </c>
      <c r="AQ23" s="291">
        <v>6.225</v>
      </c>
      <c r="AR23" s="290"/>
      <c r="AS23" s="290">
        <v>8.6</v>
      </c>
      <c r="AT23" s="292"/>
    </row>
    <row r="24" spans="1:46" ht="288">
      <c r="A24" s="21">
        <v>20</v>
      </c>
      <c r="B24" s="293" t="s">
        <v>790</v>
      </c>
      <c r="C24" s="279" t="s">
        <v>751</v>
      </c>
      <c r="D24" s="279" t="s">
        <v>2435</v>
      </c>
      <c r="E24" s="279" t="s">
        <v>716</v>
      </c>
      <c r="F24" s="274" t="s">
        <v>3</v>
      </c>
      <c r="G24" s="281">
        <v>5.5</v>
      </c>
      <c r="H24" s="282">
        <v>82.5</v>
      </c>
      <c r="I24" s="293" t="s">
        <v>791</v>
      </c>
      <c r="J24" s="295">
        <v>1012508</v>
      </c>
      <c r="K24" s="295">
        <v>252200</v>
      </c>
      <c r="L24" s="283" t="s">
        <v>2455</v>
      </c>
      <c r="M24" s="279" t="s">
        <v>0</v>
      </c>
      <c r="N24" s="272" t="s">
        <v>783</v>
      </c>
      <c r="O24" s="272" t="s">
        <v>784</v>
      </c>
      <c r="P24" s="272" t="s">
        <v>785</v>
      </c>
      <c r="Q24" s="290">
        <v>23</v>
      </c>
      <c r="R24" s="281">
        <v>72.6</v>
      </c>
      <c r="S24" s="281">
        <v>44.50875</v>
      </c>
      <c r="T24" s="290">
        <v>5.808</v>
      </c>
      <c r="U24" s="272"/>
      <c r="V24" s="272">
        <v>5.2</v>
      </c>
      <c r="W24" s="5">
        <v>0.01</v>
      </c>
      <c r="X24" s="272"/>
      <c r="Y24" s="272"/>
      <c r="Z24" s="281">
        <v>53.625</v>
      </c>
      <c r="AA24" s="284"/>
      <c r="AB24" s="273"/>
      <c r="AC24" s="273"/>
      <c r="AD24" s="277"/>
      <c r="AE24" s="277"/>
      <c r="AF24" s="285">
        <v>0.1540085107913669</v>
      </c>
      <c r="AG24" s="285">
        <v>0.01755035971223021</v>
      </c>
      <c r="AH24" s="284"/>
      <c r="AI24" s="284"/>
      <c r="AJ24" s="281">
        <v>2904</v>
      </c>
      <c r="AK24" s="290">
        <f t="shared" si="0"/>
        <v>40</v>
      </c>
      <c r="AL24" s="290">
        <f t="shared" si="1"/>
        <v>54.15384615384615</v>
      </c>
      <c r="AM24" s="272"/>
      <c r="AN24" s="272"/>
      <c r="AO24" s="272"/>
      <c r="AP24" s="291"/>
      <c r="AQ24" s="291"/>
      <c r="AR24" s="290"/>
      <c r="AS24" s="290">
        <v>15.1</v>
      </c>
      <c r="AT24" s="292"/>
    </row>
    <row r="25" spans="1:46" ht="288">
      <c r="A25" s="21">
        <v>21</v>
      </c>
      <c r="B25" s="293" t="s">
        <v>792</v>
      </c>
      <c r="C25" s="279" t="s">
        <v>751</v>
      </c>
      <c r="D25" s="279" t="s">
        <v>2435</v>
      </c>
      <c r="E25" s="279" t="s">
        <v>716</v>
      </c>
      <c r="F25" s="274" t="s">
        <v>3</v>
      </c>
      <c r="G25" s="298">
        <v>1.15</v>
      </c>
      <c r="H25" s="298">
        <v>17.25</v>
      </c>
      <c r="I25" s="293" t="s">
        <v>793</v>
      </c>
      <c r="J25" s="295">
        <v>1013026</v>
      </c>
      <c r="K25" s="295">
        <v>251402</v>
      </c>
      <c r="L25" s="283" t="s">
        <v>2455</v>
      </c>
      <c r="M25" s="279" t="s">
        <v>0</v>
      </c>
      <c r="N25" s="272" t="s">
        <v>783</v>
      </c>
      <c r="O25" s="272" t="s">
        <v>784</v>
      </c>
      <c r="P25" s="272" t="s">
        <v>785</v>
      </c>
      <c r="Q25" s="299">
        <v>13.2</v>
      </c>
      <c r="R25" s="307">
        <v>15.18</v>
      </c>
      <c r="S25" s="307">
        <v>9.306375</v>
      </c>
      <c r="T25" s="307">
        <v>1.2144</v>
      </c>
      <c r="U25" s="308"/>
      <c r="V25" s="308">
        <v>1.5</v>
      </c>
      <c r="W25" s="5">
        <v>0.01</v>
      </c>
      <c r="X25" s="308"/>
      <c r="Y25" s="308"/>
      <c r="Z25" s="307">
        <v>11.2125</v>
      </c>
      <c r="AA25" s="308"/>
      <c r="AB25" s="308"/>
      <c r="AC25" s="308"/>
      <c r="AD25" s="308"/>
      <c r="AE25" s="308"/>
      <c r="AF25" s="309">
        <v>0.02050595611510791</v>
      </c>
      <c r="AG25" s="309">
        <v>0.009517532374100716</v>
      </c>
      <c r="AH25" s="308"/>
      <c r="AI25" s="308"/>
      <c r="AJ25" s="307">
        <v>607.2</v>
      </c>
      <c r="AK25" s="290">
        <f t="shared" si="0"/>
        <v>40.00000000000001</v>
      </c>
      <c r="AL25" s="290">
        <f t="shared" si="1"/>
        <v>54.15384615384615</v>
      </c>
      <c r="AM25" s="308"/>
      <c r="AN25" s="308"/>
      <c r="AO25" s="308"/>
      <c r="AP25" s="307">
        <v>2.3</v>
      </c>
      <c r="AQ25" s="307">
        <v>1.4</v>
      </c>
      <c r="AR25" s="307"/>
      <c r="AS25" s="307">
        <v>5.4</v>
      </c>
      <c r="AT25" s="307"/>
    </row>
    <row r="26" spans="1:46" ht="288">
      <c r="A26" s="21">
        <v>22</v>
      </c>
      <c r="B26" s="297" t="s">
        <v>4</v>
      </c>
      <c r="C26" s="279" t="s">
        <v>751</v>
      </c>
      <c r="D26" s="279" t="s">
        <v>2435</v>
      </c>
      <c r="E26" s="279" t="s">
        <v>716</v>
      </c>
      <c r="F26" s="28" t="s">
        <v>780</v>
      </c>
      <c r="G26" s="298">
        <v>3.8</v>
      </c>
      <c r="H26" s="298">
        <v>68.4</v>
      </c>
      <c r="I26" s="294" t="s">
        <v>794</v>
      </c>
      <c r="J26" s="295">
        <v>1013103</v>
      </c>
      <c r="K26" s="295">
        <v>252944</v>
      </c>
      <c r="L26" s="283" t="s">
        <v>2437</v>
      </c>
      <c r="M26" s="279" t="s">
        <v>2</v>
      </c>
      <c r="N26" s="272" t="s">
        <v>783</v>
      </c>
      <c r="O26" s="272" t="s">
        <v>784</v>
      </c>
      <c r="P26" s="272" t="s">
        <v>785</v>
      </c>
      <c r="Q26" s="299">
        <v>22</v>
      </c>
      <c r="R26" s="307">
        <v>60.19199999999999</v>
      </c>
      <c r="S26" s="307">
        <v>36.901799999999994</v>
      </c>
      <c r="T26" s="307">
        <v>4.815359999999999</v>
      </c>
      <c r="U26" s="308"/>
      <c r="V26" s="308">
        <v>1.9</v>
      </c>
      <c r="W26" s="5">
        <v>0.01</v>
      </c>
      <c r="X26" s="308"/>
      <c r="Y26" s="308"/>
      <c r="Z26" s="307">
        <v>44.459999999999994</v>
      </c>
      <c r="AA26" s="308"/>
      <c r="AB26" s="308"/>
      <c r="AC26" s="308"/>
      <c r="AD26" s="308"/>
      <c r="AE26" s="308"/>
      <c r="AF26" s="309">
        <v>0.13</v>
      </c>
      <c r="AG26" s="309">
        <v>0.03</v>
      </c>
      <c r="AH26" s="308"/>
      <c r="AI26" s="308"/>
      <c r="AJ26" s="307">
        <v>2407.68</v>
      </c>
      <c r="AK26" s="290">
        <f t="shared" si="0"/>
        <v>40</v>
      </c>
      <c r="AL26" s="290">
        <f t="shared" si="1"/>
        <v>54.15384615384616</v>
      </c>
      <c r="AM26" s="308"/>
      <c r="AN26" s="308"/>
      <c r="AO26" s="308"/>
      <c r="AP26" s="307">
        <v>3</v>
      </c>
      <c r="AQ26" s="307">
        <v>3.5</v>
      </c>
      <c r="AR26" s="307"/>
      <c r="AS26" s="307">
        <v>12</v>
      </c>
      <c r="AT26" s="307"/>
    </row>
    <row r="27" spans="1:46" ht="288">
      <c r="A27" s="21">
        <v>23</v>
      </c>
      <c r="B27" s="288" t="s">
        <v>5</v>
      </c>
      <c r="C27" s="279" t="s">
        <v>751</v>
      </c>
      <c r="D27" s="279" t="s">
        <v>2435</v>
      </c>
      <c r="E27" s="279" t="s">
        <v>716</v>
      </c>
      <c r="F27" s="28" t="s">
        <v>780</v>
      </c>
      <c r="G27" s="298">
        <v>5.09</v>
      </c>
      <c r="H27" s="298">
        <v>76.35</v>
      </c>
      <c r="I27" s="294" t="s">
        <v>6</v>
      </c>
      <c r="J27" s="295">
        <v>1014438</v>
      </c>
      <c r="K27" s="295">
        <v>253516</v>
      </c>
      <c r="L27" s="283" t="s">
        <v>2437</v>
      </c>
      <c r="M27" s="279" t="s">
        <v>2</v>
      </c>
      <c r="N27" s="272" t="s">
        <v>783</v>
      </c>
      <c r="O27" s="272" t="s">
        <v>784</v>
      </c>
      <c r="P27" s="272" t="s">
        <v>785</v>
      </c>
      <c r="Q27" s="299">
        <v>15</v>
      </c>
      <c r="R27" s="307">
        <v>67.188</v>
      </c>
      <c r="S27" s="307">
        <v>41.190825</v>
      </c>
      <c r="T27" s="307">
        <v>5.37504</v>
      </c>
      <c r="U27" s="308"/>
      <c r="V27" s="308">
        <v>3</v>
      </c>
      <c r="W27" s="5">
        <v>0.01</v>
      </c>
      <c r="X27" s="308"/>
      <c r="Y27" s="308"/>
      <c r="Z27" s="307">
        <v>49.6275</v>
      </c>
      <c r="AA27" s="308"/>
      <c r="AB27" s="308"/>
      <c r="AC27" s="308"/>
      <c r="AD27" s="308"/>
      <c r="AE27" s="308"/>
      <c r="AF27" s="309">
        <v>0.09076114489208635</v>
      </c>
      <c r="AG27" s="309">
        <v>0.04212542589928056</v>
      </c>
      <c r="AH27" s="308"/>
      <c r="AI27" s="308"/>
      <c r="AJ27" s="307">
        <v>2687.52</v>
      </c>
      <c r="AK27" s="290">
        <f t="shared" si="0"/>
        <v>40</v>
      </c>
      <c r="AL27" s="290">
        <f t="shared" si="1"/>
        <v>54.15384615384615</v>
      </c>
      <c r="AM27" s="308"/>
      <c r="AN27" s="308"/>
      <c r="AO27" s="308"/>
      <c r="AP27" s="307">
        <v>0</v>
      </c>
      <c r="AQ27" s="307">
        <v>0</v>
      </c>
      <c r="AR27" s="307"/>
      <c r="AS27" s="307">
        <v>0</v>
      </c>
      <c r="AT27" s="307"/>
    </row>
    <row r="28" spans="1:46" ht="288">
      <c r="A28" s="21">
        <v>24</v>
      </c>
      <c r="B28" s="294" t="s">
        <v>7</v>
      </c>
      <c r="C28" s="279" t="s">
        <v>751</v>
      </c>
      <c r="D28" s="279" t="s">
        <v>2435</v>
      </c>
      <c r="E28" s="279" t="s">
        <v>716</v>
      </c>
      <c r="F28" s="28" t="s">
        <v>780</v>
      </c>
      <c r="G28" s="298">
        <v>2.2</v>
      </c>
      <c r="H28" s="298">
        <v>39.6</v>
      </c>
      <c r="I28" s="28" t="s">
        <v>795</v>
      </c>
      <c r="J28" s="295">
        <v>1014152</v>
      </c>
      <c r="K28" s="295">
        <v>252631</v>
      </c>
      <c r="L28" s="283" t="s">
        <v>2437</v>
      </c>
      <c r="M28" s="279" t="s">
        <v>2</v>
      </c>
      <c r="N28" s="272" t="s">
        <v>783</v>
      </c>
      <c r="O28" s="272" t="s">
        <v>784</v>
      </c>
      <c r="P28" s="272" t="s">
        <v>785</v>
      </c>
      <c r="Q28" s="299">
        <v>22</v>
      </c>
      <c r="R28" s="307">
        <v>34.848</v>
      </c>
      <c r="S28" s="307">
        <v>21.3642</v>
      </c>
      <c r="T28" s="307">
        <v>2.78784</v>
      </c>
      <c r="U28" s="308"/>
      <c r="V28" s="308">
        <v>2.1</v>
      </c>
      <c r="W28" s="5">
        <v>0.01</v>
      </c>
      <c r="X28" s="308"/>
      <c r="Y28" s="308"/>
      <c r="Z28" s="307">
        <v>25.740000000000002</v>
      </c>
      <c r="AA28" s="308"/>
      <c r="AB28" s="308"/>
      <c r="AC28" s="308"/>
      <c r="AD28" s="308"/>
      <c r="AE28" s="308"/>
      <c r="AF28" s="309">
        <v>0.032026856115107916</v>
      </c>
      <c r="AG28" s="309">
        <v>0.01930428776978417</v>
      </c>
      <c r="AH28" s="308"/>
      <c r="AI28" s="308"/>
      <c r="AJ28" s="307">
        <v>1393.92</v>
      </c>
      <c r="AK28" s="290">
        <f t="shared" si="0"/>
        <v>40</v>
      </c>
      <c r="AL28" s="290">
        <f t="shared" si="1"/>
        <v>54.15384615384615</v>
      </c>
      <c r="AM28" s="308"/>
      <c r="AN28" s="308"/>
      <c r="AO28" s="308"/>
      <c r="AP28" s="307"/>
      <c r="AQ28" s="307">
        <v>7.02</v>
      </c>
      <c r="AR28" s="307"/>
      <c r="AS28" s="307">
        <v>0</v>
      </c>
      <c r="AT28" s="307"/>
    </row>
    <row r="29" spans="1:46" ht="288">
      <c r="A29" s="21">
        <v>25</v>
      </c>
      <c r="B29" s="306" t="s">
        <v>796</v>
      </c>
      <c r="C29" s="279" t="s">
        <v>751</v>
      </c>
      <c r="D29" s="279" t="s">
        <v>2435</v>
      </c>
      <c r="E29" s="279" t="s">
        <v>716</v>
      </c>
      <c r="F29" s="274" t="s">
        <v>3</v>
      </c>
      <c r="G29" s="298">
        <v>4.5</v>
      </c>
      <c r="H29" s="298">
        <v>81</v>
      </c>
      <c r="I29" s="293" t="s">
        <v>797</v>
      </c>
      <c r="J29" s="295">
        <v>1012948</v>
      </c>
      <c r="K29" s="295">
        <v>251615</v>
      </c>
      <c r="L29" s="283" t="s">
        <v>2455</v>
      </c>
      <c r="M29" s="279" t="s">
        <v>0</v>
      </c>
      <c r="N29" s="272" t="s">
        <v>783</v>
      </c>
      <c r="O29" s="272" t="s">
        <v>784</v>
      </c>
      <c r="P29" s="272" t="s">
        <v>785</v>
      </c>
      <c r="Q29" s="299">
        <v>8</v>
      </c>
      <c r="R29" s="307">
        <v>71.28</v>
      </c>
      <c r="S29" s="307">
        <v>43.69949999999999</v>
      </c>
      <c r="T29" s="307">
        <v>5.7024</v>
      </c>
      <c r="U29" s="308"/>
      <c r="V29" s="308">
        <v>2.5</v>
      </c>
      <c r="W29" s="5">
        <v>0.01</v>
      </c>
      <c r="X29" s="308"/>
      <c r="Y29" s="308"/>
      <c r="Z29" s="307">
        <v>52.65</v>
      </c>
      <c r="AA29" s="308"/>
      <c r="AB29" s="308"/>
      <c r="AC29" s="308"/>
      <c r="AD29" s="308"/>
      <c r="AE29" s="308"/>
      <c r="AF29" s="309">
        <v>0.11479048201438849</v>
      </c>
      <c r="AG29" s="309">
        <v>0.019967625899280556</v>
      </c>
      <c r="AH29" s="308"/>
      <c r="AI29" s="308"/>
      <c r="AJ29" s="307">
        <v>2851.2</v>
      </c>
      <c r="AK29" s="290">
        <f t="shared" si="0"/>
        <v>40</v>
      </c>
      <c r="AL29" s="290">
        <f t="shared" si="1"/>
        <v>54.15384615384615</v>
      </c>
      <c r="AM29" s="308"/>
      <c r="AN29" s="308"/>
      <c r="AO29" s="308"/>
      <c r="AP29" s="307">
        <v>5.3</v>
      </c>
      <c r="AQ29" s="307">
        <v>11.205</v>
      </c>
      <c r="AR29" s="307"/>
      <c r="AS29" s="307">
        <v>7.843499999999999</v>
      </c>
      <c r="AT29" s="307"/>
    </row>
    <row r="30" spans="1:46" ht="288">
      <c r="A30" s="21">
        <v>26</v>
      </c>
      <c r="B30" s="28" t="s">
        <v>798</v>
      </c>
      <c r="C30" s="279" t="s">
        <v>751</v>
      </c>
      <c r="D30" s="279" t="s">
        <v>2435</v>
      </c>
      <c r="E30" s="279" t="s">
        <v>716</v>
      </c>
      <c r="F30" s="28" t="s">
        <v>8</v>
      </c>
      <c r="G30" s="298">
        <v>1.52</v>
      </c>
      <c r="H30" s="298">
        <v>22.8</v>
      </c>
      <c r="I30" s="28" t="s">
        <v>9</v>
      </c>
      <c r="J30" s="295">
        <v>1013015</v>
      </c>
      <c r="K30" s="295">
        <v>251717</v>
      </c>
      <c r="L30" s="283" t="s">
        <v>2455</v>
      </c>
      <c r="M30" s="279" t="s">
        <v>0</v>
      </c>
      <c r="N30" s="272" t="s">
        <v>783</v>
      </c>
      <c r="O30" s="272" t="s">
        <v>784</v>
      </c>
      <c r="P30" s="272" t="s">
        <v>785</v>
      </c>
      <c r="Q30" s="299">
        <v>18</v>
      </c>
      <c r="R30" s="307">
        <v>20.064</v>
      </c>
      <c r="S30" s="307">
        <v>12.3006</v>
      </c>
      <c r="T30" s="307">
        <v>1.60512</v>
      </c>
      <c r="U30" s="308"/>
      <c r="V30" s="308">
        <v>2.1</v>
      </c>
      <c r="W30" s="5">
        <v>0.01</v>
      </c>
      <c r="X30" s="308"/>
      <c r="Y30" s="308"/>
      <c r="Z30" s="307">
        <v>14.82</v>
      </c>
      <c r="AA30" s="308"/>
      <c r="AB30" s="308"/>
      <c r="AC30" s="308"/>
      <c r="AD30" s="308"/>
      <c r="AE30" s="308"/>
      <c r="AF30" s="309">
        <v>0.02710352460431655</v>
      </c>
      <c r="AG30" s="309">
        <v>0.012579694964028776</v>
      </c>
      <c r="AH30" s="308"/>
      <c r="AI30" s="308"/>
      <c r="AJ30" s="307">
        <v>802.56</v>
      </c>
      <c r="AK30" s="290">
        <f t="shared" si="0"/>
        <v>40</v>
      </c>
      <c r="AL30" s="290">
        <f t="shared" si="1"/>
        <v>54.153846153846146</v>
      </c>
      <c r="AM30" s="308"/>
      <c r="AN30" s="308"/>
      <c r="AO30" s="308"/>
      <c r="AP30" s="307"/>
      <c r="AQ30" s="307"/>
      <c r="AR30" s="307"/>
      <c r="AS30" s="307">
        <v>9.1</v>
      </c>
      <c r="AT30" s="307"/>
    </row>
    <row r="31" spans="1:46" ht="288">
      <c r="A31" s="21">
        <v>27</v>
      </c>
      <c r="B31" s="288" t="s">
        <v>10</v>
      </c>
      <c r="C31" s="279" t="s">
        <v>751</v>
      </c>
      <c r="D31" s="279" t="s">
        <v>2435</v>
      </c>
      <c r="E31" s="279" t="s">
        <v>716</v>
      </c>
      <c r="F31" s="274" t="s">
        <v>2460</v>
      </c>
      <c r="G31" s="298">
        <v>1.4</v>
      </c>
      <c r="H31" s="298">
        <v>21</v>
      </c>
      <c r="I31" s="294" t="s">
        <v>11</v>
      </c>
      <c r="J31" s="289">
        <v>1014133</v>
      </c>
      <c r="K31" s="289">
        <v>252252</v>
      </c>
      <c r="L31" s="283" t="s">
        <v>2455</v>
      </c>
      <c r="M31" s="279" t="s">
        <v>0</v>
      </c>
      <c r="N31" s="272" t="s">
        <v>783</v>
      </c>
      <c r="O31" s="272" t="s">
        <v>784</v>
      </c>
      <c r="P31" s="272" t="s">
        <v>785</v>
      </c>
      <c r="Q31" s="299">
        <v>18.5</v>
      </c>
      <c r="R31" s="307">
        <v>18.48</v>
      </c>
      <c r="S31" s="307">
        <v>11.3295</v>
      </c>
      <c r="T31" s="307">
        <v>1.4784000000000002</v>
      </c>
      <c r="U31" s="308"/>
      <c r="V31" s="308">
        <v>2.1</v>
      </c>
      <c r="W31" s="5">
        <v>0.01</v>
      </c>
      <c r="X31" s="308"/>
      <c r="Y31" s="308"/>
      <c r="Z31" s="307">
        <v>13.65</v>
      </c>
      <c r="AA31" s="308"/>
      <c r="AB31" s="308"/>
      <c r="AC31" s="308"/>
      <c r="AD31" s="308"/>
      <c r="AE31" s="308"/>
      <c r="AF31" s="309">
        <v>0.12724820143884893</v>
      </c>
      <c r="AG31" s="309">
        <v>0.013</v>
      </c>
      <c r="AH31" s="308"/>
      <c r="AI31" s="308"/>
      <c r="AJ31" s="307">
        <v>739.2</v>
      </c>
      <c r="AK31" s="290">
        <f t="shared" si="0"/>
        <v>40</v>
      </c>
      <c r="AL31" s="290">
        <f t="shared" si="1"/>
        <v>54.15384615384615</v>
      </c>
      <c r="AM31" s="308"/>
      <c r="AN31" s="308"/>
      <c r="AO31" s="308"/>
      <c r="AP31" s="307">
        <v>4.5</v>
      </c>
      <c r="AQ31" s="307"/>
      <c r="AR31" s="307"/>
      <c r="AS31" s="307">
        <v>8.860249999999997</v>
      </c>
      <c r="AT31" s="307"/>
    </row>
    <row r="32" spans="1:46" ht="288">
      <c r="A32" s="21">
        <v>28</v>
      </c>
      <c r="B32" s="288" t="s">
        <v>12</v>
      </c>
      <c r="C32" s="279" t="s">
        <v>751</v>
      </c>
      <c r="D32" s="279" t="s">
        <v>2435</v>
      </c>
      <c r="E32" s="279" t="s">
        <v>716</v>
      </c>
      <c r="F32" s="274" t="s">
        <v>13</v>
      </c>
      <c r="G32" s="298">
        <v>2.4</v>
      </c>
      <c r="H32" s="298">
        <v>43.2</v>
      </c>
      <c r="I32" s="274" t="s">
        <v>14</v>
      </c>
      <c r="J32" s="295">
        <v>1012459</v>
      </c>
      <c r="K32" s="295">
        <v>251703</v>
      </c>
      <c r="L32" s="283" t="s">
        <v>2455</v>
      </c>
      <c r="M32" s="279" t="s">
        <v>0</v>
      </c>
      <c r="N32" s="272" t="s">
        <v>783</v>
      </c>
      <c r="O32" s="272" t="s">
        <v>784</v>
      </c>
      <c r="P32" s="272" t="s">
        <v>785</v>
      </c>
      <c r="Q32" s="299">
        <v>18</v>
      </c>
      <c r="R32" s="307">
        <v>38.016</v>
      </c>
      <c r="S32" s="307">
        <v>23.306399999999996</v>
      </c>
      <c r="T32" s="307">
        <v>3.04128</v>
      </c>
      <c r="U32" s="308"/>
      <c r="V32" s="308">
        <v>1.5</v>
      </c>
      <c r="W32" s="5">
        <v>0.01</v>
      </c>
      <c r="X32" s="308"/>
      <c r="Y32" s="308"/>
      <c r="Z32" s="307">
        <v>28.08</v>
      </c>
      <c r="AA32" s="308"/>
      <c r="AB32" s="308"/>
      <c r="AC32" s="308"/>
      <c r="AD32" s="308"/>
      <c r="AE32" s="308"/>
      <c r="AF32" s="309">
        <v>0.05072076258992806</v>
      </c>
      <c r="AG32" s="309">
        <v>0.007</v>
      </c>
      <c r="AH32" s="308"/>
      <c r="AI32" s="308"/>
      <c r="AJ32" s="307">
        <v>1520.6399999999999</v>
      </c>
      <c r="AK32" s="290">
        <f t="shared" si="0"/>
        <v>40</v>
      </c>
      <c r="AL32" s="290">
        <f t="shared" si="1"/>
        <v>54.15384615384615</v>
      </c>
      <c r="AM32" s="308"/>
      <c r="AN32" s="308"/>
      <c r="AO32" s="308"/>
      <c r="AP32" s="307"/>
      <c r="AQ32" s="307">
        <v>4.98</v>
      </c>
      <c r="AR32" s="307"/>
      <c r="AS32" s="307">
        <v>12.3</v>
      </c>
      <c r="AT32" s="307"/>
    </row>
    <row r="33" spans="1:46" ht="288">
      <c r="A33" s="21">
        <v>29</v>
      </c>
      <c r="B33" s="293" t="s">
        <v>15</v>
      </c>
      <c r="C33" s="279" t="s">
        <v>751</v>
      </c>
      <c r="D33" s="279" t="s">
        <v>2435</v>
      </c>
      <c r="E33" s="279" t="s">
        <v>716</v>
      </c>
      <c r="F33" s="274" t="s">
        <v>2460</v>
      </c>
      <c r="G33" s="298">
        <v>2.5</v>
      </c>
      <c r="H33" s="298">
        <v>37.5</v>
      </c>
      <c r="I33" s="293" t="s">
        <v>16</v>
      </c>
      <c r="J33" s="289">
        <v>1013727</v>
      </c>
      <c r="K33" s="289">
        <v>252449</v>
      </c>
      <c r="L33" s="283" t="s">
        <v>2455</v>
      </c>
      <c r="M33" s="279" t="s">
        <v>0</v>
      </c>
      <c r="N33" s="272" t="s">
        <v>783</v>
      </c>
      <c r="O33" s="272" t="s">
        <v>784</v>
      </c>
      <c r="P33" s="272" t="s">
        <v>785</v>
      </c>
      <c r="Q33" s="299">
        <v>17</v>
      </c>
      <c r="R33" s="307">
        <v>33</v>
      </c>
      <c r="S33" s="307">
        <v>20.23125</v>
      </c>
      <c r="T33" s="307">
        <v>2.64</v>
      </c>
      <c r="U33" s="308"/>
      <c r="V33" s="308">
        <v>3.5</v>
      </c>
      <c r="W33" s="5">
        <v>0.01</v>
      </c>
      <c r="X33" s="308"/>
      <c r="Y33" s="308"/>
      <c r="Z33" s="307">
        <v>24.375</v>
      </c>
      <c r="AA33" s="308"/>
      <c r="AB33" s="308"/>
      <c r="AC33" s="308"/>
      <c r="AD33" s="308"/>
      <c r="AE33" s="308"/>
      <c r="AF33" s="309">
        <v>0.007449712230215833</v>
      </c>
      <c r="AG33" s="309">
        <v>0.024928057553956832</v>
      </c>
      <c r="AH33" s="308"/>
      <c r="AI33" s="308"/>
      <c r="AJ33" s="307">
        <v>1320</v>
      </c>
      <c r="AK33" s="290">
        <f t="shared" si="0"/>
        <v>40</v>
      </c>
      <c r="AL33" s="290">
        <f t="shared" si="1"/>
        <v>54.15384615384615</v>
      </c>
      <c r="AM33" s="308"/>
      <c r="AN33" s="308"/>
      <c r="AO33" s="308"/>
      <c r="AP33" s="307">
        <v>9.683333333333332</v>
      </c>
      <c r="AQ33" s="307">
        <v>4.15</v>
      </c>
      <c r="AR33" s="307"/>
      <c r="AS33" s="307">
        <v>2.905</v>
      </c>
      <c r="AT33" s="307"/>
    </row>
    <row r="34" spans="1:46" ht="288">
      <c r="A34" s="21">
        <v>30</v>
      </c>
      <c r="B34" s="294" t="s">
        <v>17</v>
      </c>
      <c r="C34" s="279" t="s">
        <v>751</v>
      </c>
      <c r="D34" s="279" t="s">
        <v>2435</v>
      </c>
      <c r="E34" s="279" t="s">
        <v>716</v>
      </c>
      <c r="F34" s="28" t="s">
        <v>780</v>
      </c>
      <c r="G34" s="298">
        <v>2.3</v>
      </c>
      <c r="H34" s="298">
        <v>41.4</v>
      </c>
      <c r="I34" s="28" t="s">
        <v>787</v>
      </c>
      <c r="J34" s="295">
        <v>1014019</v>
      </c>
      <c r="K34" s="295">
        <v>252852</v>
      </c>
      <c r="L34" s="283" t="s">
        <v>2437</v>
      </c>
      <c r="M34" s="279" t="s">
        <v>2</v>
      </c>
      <c r="N34" s="272" t="s">
        <v>783</v>
      </c>
      <c r="O34" s="272" t="s">
        <v>784</v>
      </c>
      <c r="P34" s="272" t="s">
        <v>785</v>
      </c>
      <c r="Q34" s="299">
        <v>19</v>
      </c>
      <c r="R34" s="307">
        <v>36.432</v>
      </c>
      <c r="S34" s="307">
        <v>22.3353</v>
      </c>
      <c r="T34" s="307">
        <v>2.9145600000000003</v>
      </c>
      <c r="U34" s="308"/>
      <c r="V34" s="308">
        <v>2</v>
      </c>
      <c r="W34" s="5">
        <v>0.01</v>
      </c>
      <c r="X34" s="308"/>
      <c r="Y34" s="308"/>
      <c r="Z34" s="307">
        <v>26.91</v>
      </c>
      <c r="AA34" s="308"/>
      <c r="AB34" s="308"/>
      <c r="AC34" s="308"/>
      <c r="AD34" s="308"/>
      <c r="AE34" s="308"/>
      <c r="AF34" s="309">
        <v>0.03348262230215828</v>
      </c>
      <c r="AG34" s="309">
        <v>0.020181755395683447</v>
      </c>
      <c r="AH34" s="308"/>
      <c r="AI34" s="308"/>
      <c r="AJ34" s="307">
        <v>1457.2800000000002</v>
      </c>
      <c r="AK34" s="290">
        <f t="shared" si="0"/>
        <v>40</v>
      </c>
      <c r="AL34" s="290">
        <f t="shared" si="1"/>
        <v>54.15384615384616</v>
      </c>
      <c r="AM34" s="308"/>
      <c r="AN34" s="308"/>
      <c r="AO34" s="308"/>
      <c r="AP34" s="307"/>
      <c r="AQ34" s="307">
        <v>1.31</v>
      </c>
      <c r="AR34" s="307"/>
      <c r="AS34" s="307">
        <v>0</v>
      </c>
      <c r="AT34" s="307"/>
    </row>
    <row r="35" spans="1:46" ht="288">
      <c r="A35" s="21">
        <v>31</v>
      </c>
      <c r="B35" s="288" t="s">
        <v>18</v>
      </c>
      <c r="C35" s="279" t="s">
        <v>751</v>
      </c>
      <c r="D35" s="279" t="s">
        <v>2435</v>
      </c>
      <c r="E35" s="279" t="s">
        <v>716</v>
      </c>
      <c r="F35" s="294" t="s">
        <v>778</v>
      </c>
      <c r="G35" s="298">
        <v>5.5</v>
      </c>
      <c r="H35" s="298">
        <v>82.5</v>
      </c>
      <c r="I35" s="294" t="s">
        <v>19</v>
      </c>
      <c r="J35" s="295">
        <v>1013826</v>
      </c>
      <c r="K35" s="295">
        <v>251504</v>
      </c>
      <c r="L35" s="283" t="s">
        <v>2437</v>
      </c>
      <c r="M35" s="279" t="s">
        <v>2</v>
      </c>
      <c r="N35" s="272" t="s">
        <v>783</v>
      </c>
      <c r="O35" s="272" t="s">
        <v>784</v>
      </c>
      <c r="P35" s="272" t="s">
        <v>785</v>
      </c>
      <c r="Q35" s="299">
        <v>19</v>
      </c>
      <c r="R35" s="307">
        <v>72.6</v>
      </c>
      <c r="S35" s="307">
        <v>44.50875</v>
      </c>
      <c r="T35" s="307">
        <v>5.808</v>
      </c>
      <c r="U35" s="308"/>
      <c r="V35" s="308">
        <v>2.6</v>
      </c>
      <c r="W35" s="5">
        <v>0.01</v>
      </c>
      <c r="X35" s="308"/>
      <c r="Y35" s="308"/>
      <c r="Z35" s="307">
        <v>53.625</v>
      </c>
      <c r="AA35" s="308"/>
      <c r="AB35" s="308"/>
      <c r="AC35" s="308"/>
      <c r="AD35" s="308"/>
      <c r="AE35" s="308"/>
      <c r="AF35" s="309">
        <v>0.16055527338129494</v>
      </c>
      <c r="AG35" s="309">
        <v>0.01427697841726619</v>
      </c>
      <c r="AH35" s="308"/>
      <c r="AI35" s="308"/>
      <c r="AJ35" s="307">
        <v>2904</v>
      </c>
      <c r="AK35" s="290">
        <f t="shared" si="0"/>
        <v>40</v>
      </c>
      <c r="AL35" s="290">
        <f t="shared" si="1"/>
        <v>54.15384615384615</v>
      </c>
      <c r="AM35" s="308"/>
      <c r="AN35" s="308"/>
      <c r="AO35" s="308"/>
      <c r="AP35" s="307"/>
      <c r="AQ35" s="307"/>
      <c r="AR35" s="307"/>
      <c r="AS35" s="307">
        <v>5.9</v>
      </c>
      <c r="AT35" s="307"/>
    </row>
    <row r="36" spans="1:46" ht="288">
      <c r="A36" s="21">
        <v>32</v>
      </c>
      <c r="B36" s="294" t="s">
        <v>20</v>
      </c>
      <c r="C36" s="279" t="s">
        <v>751</v>
      </c>
      <c r="D36" s="279" t="s">
        <v>2435</v>
      </c>
      <c r="E36" s="279" t="s">
        <v>716</v>
      </c>
      <c r="F36" s="28" t="s">
        <v>780</v>
      </c>
      <c r="G36" s="298">
        <v>3</v>
      </c>
      <c r="H36" s="298">
        <v>54</v>
      </c>
      <c r="I36" s="28" t="s">
        <v>799</v>
      </c>
      <c r="J36" s="295">
        <v>1014113</v>
      </c>
      <c r="K36" s="295">
        <v>252732</v>
      </c>
      <c r="L36" s="283" t="s">
        <v>2437</v>
      </c>
      <c r="M36" s="279" t="s">
        <v>2</v>
      </c>
      <c r="N36" s="272" t="s">
        <v>783</v>
      </c>
      <c r="O36" s="272" t="s">
        <v>784</v>
      </c>
      <c r="P36" s="272" t="s">
        <v>785</v>
      </c>
      <c r="Q36" s="299">
        <v>21</v>
      </c>
      <c r="R36" s="307">
        <v>47.52</v>
      </c>
      <c r="S36" s="307">
        <v>29.133</v>
      </c>
      <c r="T36" s="307">
        <v>3.8016000000000005</v>
      </c>
      <c r="U36" s="308"/>
      <c r="V36" s="308">
        <v>1.8</v>
      </c>
      <c r="W36" s="5">
        <v>0.01</v>
      </c>
      <c r="X36" s="308"/>
      <c r="Y36" s="308"/>
      <c r="Z36" s="307">
        <v>35.1</v>
      </c>
      <c r="AA36" s="308"/>
      <c r="AB36" s="308"/>
      <c r="AC36" s="308"/>
      <c r="AD36" s="308"/>
      <c r="AE36" s="308"/>
      <c r="AF36" s="309">
        <v>0.0436729856115108</v>
      </c>
      <c r="AG36" s="309">
        <v>0.026324028776978415</v>
      </c>
      <c r="AH36" s="308"/>
      <c r="AI36" s="308"/>
      <c r="AJ36" s="307">
        <v>1900.8000000000002</v>
      </c>
      <c r="AK36" s="290">
        <f t="shared" si="0"/>
        <v>40</v>
      </c>
      <c r="AL36" s="290">
        <f t="shared" si="1"/>
        <v>54.15384615384615</v>
      </c>
      <c r="AM36" s="308"/>
      <c r="AN36" s="308"/>
      <c r="AO36" s="308"/>
      <c r="AP36" s="307">
        <v>2.87</v>
      </c>
      <c r="AQ36" s="307"/>
      <c r="AR36" s="307"/>
      <c r="AS36" s="307"/>
      <c r="AT36" s="307"/>
    </row>
    <row r="37" spans="1:46" ht="288">
      <c r="A37" s="21">
        <v>33</v>
      </c>
      <c r="B37" s="288" t="s">
        <v>21</v>
      </c>
      <c r="C37" s="279" t="s">
        <v>751</v>
      </c>
      <c r="D37" s="279" t="s">
        <v>2435</v>
      </c>
      <c r="E37" s="279" t="s">
        <v>716</v>
      </c>
      <c r="F37" s="294" t="s">
        <v>8</v>
      </c>
      <c r="G37" s="298">
        <v>2.7</v>
      </c>
      <c r="H37" s="298">
        <v>40.5</v>
      </c>
      <c r="I37" s="294" t="s">
        <v>22</v>
      </c>
      <c r="J37" s="295">
        <v>1013548</v>
      </c>
      <c r="K37" s="295">
        <v>251423</v>
      </c>
      <c r="L37" s="283" t="s">
        <v>2455</v>
      </c>
      <c r="M37" s="279" t="s">
        <v>0</v>
      </c>
      <c r="N37" s="272" t="s">
        <v>783</v>
      </c>
      <c r="O37" s="272" t="s">
        <v>784</v>
      </c>
      <c r="P37" s="272" t="s">
        <v>785</v>
      </c>
      <c r="Q37" s="299">
        <v>15</v>
      </c>
      <c r="R37" s="307">
        <v>35.64</v>
      </c>
      <c r="S37" s="307">
        <v>21.849749999999997</v>
      </c>
      <c r="T37" s="307">
        <v>2.8512</v>
      </c>
      <c r="U37" s="308"/>
      <c r="V37" s="308">
        <v>2.8</v>
      </c>
      <c r="W37" s="5">
        <v>0.01</v>
      </c>
      <c r="X37" s="308"/>
      <c r="Y37" s="308"/>
      <c r="Z37" s="307">
        <v>26.325</v>
      </c>
      <c r="AA37" s="308"/>
      <c r="AB37" s="308"/>
      <c r="AC37" s="308"/>
      <c r="AD37" s="308"/>
      <c r="AE37" s="308"/>
      <c r="AF37" s="309">
        <v>0.048144418705035975</v>
      </c>
      <c r="AG37" s="309">
        <v>0.0223455107913669</v>
      </c>
      <c r="AH37" s="308"/>
      <c r="AI37" s="308"/>
      <c r="AJ37" s="307">
        <v>1425.6</v>
      </c>
      <c r="AK37" s="290">
        <f t="shared" si="0"/>
        <v>40</v>
      </c>
      <c r="AL37" s="290">
        <f t="shared" si="1"/>
        <v>54.15384615384615</v>
      </c>
      <c r="AM37" s="308"/>
      <c r="AN37" s="308"/>
      <c r="AO37" s="308"/>
      <c r="AP37" s="307">
        <v>5.6</v>
      </c>
      <c r="AQ37" s="307">
        <v>2.3</v>
      </c>
      <c r="AR37" s="307"/>
      <c r="AS37" s="307"/>
      <c r="AT37" s="307"/>
    </row>
    <row r="38" spans="1:46" ht="36">
      <c r="A38" s="21">
        <v>34</v>
      </c>
      <c r="B38" s="288" t="s">
        <v>23</v>
      </c>
      <c r="C38" s="279" t="s">
        <v>751</v>
      </c>
      <c r="D38" s="279" t="s">
        <v>2435</v>
      </c>
      <c r="E38" s="279" t="s">
        <v>716</v>
      </c>
      <c r="F38" s="294" t="s">
        <v>24</v>
      </c>
      <c r="G38" s="298">
        <v>1.1</v>
      </c>
      <c r="H38" s="298">
        <v>19.8</v>
      </c>
      <c r="I38" s="294" t="s">
        <v>25</v>
      </c>
      <c r="J38" s="298">
        <v>1014351</v>
      </c>
      <c r="K38" s="298">
        <v>252702</v>
      </c>
      <c r="L38" s="283" t="s">
        <v>2462</v>
      </c>
      <c r="M38" s="279" t="s">
        <v>2463</v>
      </c>
      <c r="N38" s="272" t="s">
        <v>783</v>
      </c>
      <c r="O38" s="272" t="s">
        <v>784</v>
      </c>
      <c r="P38" s="272" t="s">
        <v>785</v>
      </c>
      <c r="Q38" s="299">
        <v>15</v>
      </c>
      <c r="R38" s="307">
        <v>17.424</v>
      </c>
      <c r="S38" s="307">
        <v>10.6821</v>
      </c>
      <c r="T38" s="307">
        <v>1.39392</v>
      </c>
      <c r="U38" s="308"/>
      <c r="V38" s="308">
        <v>3</v>
      </c>
      <c r="W38" s="5">
        <v>0.01</v>
      </c>
      <c r="X38" s="308"/>
      <c r="Y38" s="308"/>
      <c r="Z38" s="307">
        <v>12.870000000000001</v>
      </c>
      <c r="AA38" s="308"/>
      <c r="AB38" s="308"/>
      <c r="AC38" s="308"/>
      <c r="AD38" s="308"/>
      <c r="AE38" s="308"/>
      <c r="AF38" s="309">
        <v>0.016013428057553958</v>
      </c>
      <c r="AG38" s="309">
        <v>0.009652143884892085</v>
      </c>
      <c r="AH38" s="308"/>
      <c r="AI38" s="308"/>
      <c r="AJ38" s="307">
        <v>696.96</v>
      </c>
      <c r="AK38" s="290">
        <f t="shared" si="0"/>
        <v>40</v>
      </c>
      <c r="AL38" s="290">
        <f t="shared" si="1"/>
        <v>54.15384615384615</v>
      </c>
      <c r="AM38" s="308"/>
      <c r="AN38" s="308"/>
      <c r="AO38" s="308"/>
      <c r="AP38" s="307"/>
      <c r="AQ38" s="307"/>
      <c r="AR38" s="307"/>
      <c r="AS38" s="307">
        <v>0</v>
      </c>
      <c r="AT38" s="307"/>
    </row>
    <row r="39" spans="1:46" ht="36">
      <c r="A39" s="21">
        <v>35</v>
      </c>
      <c r="B39" s="288" t="s">
        <v>26</v>
      </c>
      <c r="C39" s="279" t="s">
        <v>751</v>
      </c>
      <c r="D39" s="279" t="s">
        <v>2435</v>
      </c>
      <c r="E39" s="279" t="s">
        <v>716</v>
      </c>
      <c r="F39" s="28" t="s">
        <v>780</v>
      </c>
      <c r="G39" s="298">
        <v>1.1</v>
      </c>
      <c r="H39" s="298">
        <v>16.5</v>
      </c>
      <c r="I39" s="294" t="s">
        <v>27</v>
      </c>
      <c r="J39" s="295">
        <v>1014309</v>
      </c>
      <c r="K39" s="295">
        <v>253847</v>
      </c>
      <c r="L39" s="283" t="s">
        <v>2437</v>
      </c>
      <c r="M39" s="279" t="s">
        <v>2</v>
      </c>
      <c r="N39" s="272" t="s">
        <v>783</v>
      </c>
      <c r="O39" s="272" t="s">
        <v>784</v>
      </c>
      <c r="P39" s="272" t="s">
        <v>785</v>
      </c>
      <c r="Q39" s="299">
        <v>36</v>
      </c>
      <c r="R39" s="307">
        <v>14.52</v>
      </c>
      <c r="S39" s="307">
        <v>8.90175</v>
      </c>
      <c r="T39" s="307">
        <v>1.1616</v>
      </c>
      <c r="U39" s="308"/>
      <c r="V39" s="308">
        <v>2.5</v>
      </c>
      <c r="W39" s="5">
        <v>0.01</v>
      </c>
      <c r="X39" s="308"/>
      <c r="Y39" s="308"/>
      <c r="Z39" s="307">
        <v>10.725</v>
      </c>
      <c r="AA39" s="308"/>
      <c r="AB39" s="308"/>
      <c r="AC39" s="308"/>
      <c r="AD39" s="308"/>
      <c r="AE39" s="308"/>
      <c r="AF39" s="309">
        <v>0.019614392805755398</v>
      </c>
      <c r="AG39" s="309">
        <v>0.009103726618705036</v>
      </c>
      <c r="AH39" s="308"/>
      <c r="AI39" s="308"/>
      <c r="AJ39" s="307">
        <v>580.8</v>
      </c>
      <c r="AK39" s="290">
        <f t="shared" si="0"/>
        <v>40</v>
      </c>
      <c r="AL39" s="290">
        <f t="shared" si="1"/>
        <v>54.15384615384615</v>
      </c>
      <c r="AM39" s="308"/>
      <c r="AN39" s="308"/>
      <c r="AO39" s="308"/>
      <c r="AP39" s="307">
        <v>10</v>
      </c>
      <c r="AQ39" s="307"/>
      <c r="AR39" s="307"/>
      <c r="AS39" s="307">
        <v>0</v>
      </c>
      <c r="AT39" s="307"/>
    </row>
    <row r="40" spans="1:46" ht="36">
      <c r="A40" s="21">
        <v>36</v>
      </c>
      <c r="B40" s="293" t="s">
        <v>28</v>
      </c>
      <c r="C40" s="279" t="s">
        <v>751</v>
      </c>
      <c r="D40" s="279" t="s">
        <v>2435</v>
      </c>
      <c r="E40" s="279" t="s">
        <v>716</v>
      </c>
      <c r="F40" s="280" t="s">
        <v>780</v>
      </c>
      <c r="G40" s="298">
        <v>1.8</v>
      </c>
      <c r="H40" s="298">
        <v>32.4</v>
      </c>
      <c r="I40" s="293" t="s">
        <v>29</v>
      </c>
      <c r="J40" s="295">
        <v>1013246</v>
      </c>
      <c r="K40" s="295">
        <v>252709</v>
      </c>
      <c r="L40" s="283" t="s">
        <v>2437</v>
      </c>
      <c r="M40" s="279" t="s">
        <v>2</v>
      </c>
      <c r="N40" s="272" t="s">
        <v>783</v>
      </c>
      <c r="O40" s="272" t="s">
        <v>784</v>
      </c>
      <c r="P40" s="272" t="s">
        <v>785</v>
      </c>
      <c r="Q40" s="299">
        <v>14</v>
      </c>
      <c r="R40" s="307">
        <v>28.512</v>
      </c>
      <c r="S40" s="307">
        <v>17.479799999999997</v>
      </c>
      <c r="T40" s="307">
        <v>2.28096</v>
      </c>
      <c r="U40" s="308"/>
      <c r="V40" s="308">
        <v>3</v>
      </c>
      <c r="W40" s="5">
        <v>0.01</v>
      </c>
      <c r="X40" s="308"/>
      <c r="Y40" s="308"/>
      <c r="Z40" s="307">
        <v>21.06</v>
      </c>
      <c r="AA40" s="308"/>
      <c r="AB40" s="308"/>
      <c r="AC40" s="308"/>
      <c r="AD40" s="308"/>
      <c r="AE40" s="308"/>
      <c r="AF40" s="309">
        <v>0.06</v>
      </c>
      <c r="AG40" s="309">
        <v>0.03</v>
      </c>
      <c r="AH40" s="308"/>
      <c r="AI40" s="308"/>
      <c r="AJ40" s="307">
        <v>1140.48</v>
      </c>
      <c r="AK40" s="290">
        <f t="shared" si="0"/>
        <v>40</v>
      </c>
      <c r="AL40" s="290">
        <f t="shared" si="1"/>
        <v>54.15384615384616</v>
      </c>
      <c r="AM40" s="308"/>
      <c r="AN40" s="308"/>
      <c r="AO40" s="308"/>
      <c r="AP40" s="307">
        <v>4.1</v>
      </c>
      <c r="AQ40" s="307">
        <v>2.8</v>
      </c>
      <c r="AR40" s="307"/>
      <c r="AS40" s="307">
        <v>6.14</v>
      </c>
      <c r="AT40" s="307"/>
    </row>
    <row r="41" spans="1:46" ht="36">
      <c r="A41" s="21">
        <v>37</v>
      </c>
      <c r="B41" s="288" t="s">
        <v>30</v>
      </c>
      <c r="C41" s="279" t="s">
        <v>751</v>
      </c>
      <c r="D41" s="279" t="s">
        <v>2435</v>
      </c>
      <c r="E41" s="279" t="s">
        <v>716</v>
      </c>
      <c r="F41" s="294" t="s">
        <v>8</v>
      </c>
      <c r="G41" s="298">
        <v>1.5</v>
      </c>
      <c r="H41" s="298">
        <v>22.5</v>
      </c>
      <c r="I41" s="294" t="s">
        <v>31</v>
      </c>
      <c r="J41" s="295">
        <v>1013942</v>
      </c>
      <c r="K41" s="295">
        <v>251541</v>
      </c>
      <c r="L41" s="283" t="s">
        <v>2455</v>
      </c>
      <c r="M41" s="279" t="s">
        <v>0</v>
      </c>
      <c r="N41" s="272" t="s">
        <v>783</v>
      </c>
      <c r="O41" s="272" t="s">
        <v>784</v>
      </c>
      <c r="P41" s="272" t="s">
        <v>785</v>
      </c>
      <c r="Q41" s="299">
        <v>16</v>
      </c>
      <c r="R41" s="307">
        <v>19.8</v>
      </c>
      <c r="S41" s="307">
        <v>12.13875</v>
      </c>
      <c r="T41" s="307">
        <v>1.584</v>
      </c>
      <c r="U41" s="308"/>
      <c r="V41" s="308">
        <v>2.8</v>
      </c>
      <c r="W41" s="5">
        <v>0.01</v>
      </c>
      <c r="X41" s="308"/>
      <c r="Y41" s="308"/>
      <c r="Z41" s="307">
        <v>14.625</v>
      </c>
      <c r="AA41" s="308"/>
      <c r="AB41" s="308"/>
      <c r="AC41" s="308"/>
      <c r="AD41" s="308"/>
      <c r="AE41" s="308"/>
      <c r="AF41" s="309">
        <v>0.011781249999999998</v>
      </c>
      <c r="AG41" s="309">
        <v>0.01898336330935252</v>
      </c>
      <c r="AH41" s="308"/>
      <c r="AI41" s="308"/>
      <c r="AJ41" s="307">
        <v>792</v>
      </c>
      <c r="AK41" s="290">
        <f t="shared" si="0"/>
        <v>40</v>
      </c>
      <c r="AL41" s="290">
        <f t="shared" si="1"/>
        <v>54.15384615384615</v>
      </c>
      <c r="AM41" s="308"/>
      <c r="AN41" s="308"/>
      <c r="AO41" s="308"/>
      <c r="AP41" s="307">
        <v>2</v>
      </c>
      <c r="AQ41" s="307">
        <v>2.6</v>
      </c>
      <c r="AR41" s="307"/>
      <c r="AS41" s="307">
        <v>1.9</v>
      </c>
      <c r="AT41" s="307"/>
    </row>
    <row r="42" spans="1:46" ht="36">
      <c r="A42" s="21">
        <v>38</v>
      </c>
      <c r="B42" s="293" t="s">
        <v>800</v>
      </c>
      <c r="C42" s="279" t="s">
        <v>751</v>
      </c>
      <c r="D42" s="279" t="s">
        <v>2435</v>
      </c>
      <c r="E42" s="279" t="s">
        <v>716</v>
      </c>
      <c r="F42" s="274" t="s">
        <v>2460</v>
      </c>
      <c r="G42" s="298">
        <v>4.5</v>
      </c>
      <c r="H42" s="298">
        <v>67.5</v>
      </c>
      <c r="I42" s="293" t="s">
        <v>801</v>
      </c>
      <c r="J42" s="289">
        <v>1013838</v>
      </c>
      <c r="K42" s="289">
        <v>252215</v>
      </c>
      <c r="L42" s="283" t="s">
        <v>2455</v>
      </c>
      <c r="M42" s="279" t="s">
        <v>0</v>
      </c>
      <c r="N42" s="272" t="s">
        <v>783</v>
      </c>
      <c r="O42" s="272" t="s">
        <v>784</v>
      </c>
      <c r="P42" s="272" t="s">
        <v>785</v>
      </c>
      <c r="Q42" s="299">
        <v>24</v>
      </c>
      <c r="R42" s="307">
        <v>59.4</v>
      </c>
      <c r="S42" s="307">
        <v>36.41625</v>
      </c>
      <c r="T42" s="307">
        <v>4.752</v>
      </c>
      <c r="U42" s="308"/>
      <c r="V42" s="308">
        <v>6.5</v>
      </c>
      <c r="W42" s="5">
        <v>0.01</v>
      </c>
      <c r="X42" s="308"/>
      <c r="Y42" s="308"/>
      <c r="Z42" s="307">
        <v>43.875</v>
      </c>
      <c r="AA42" s="308"/>
      <c r="AB42" s="308"/>
      <c r="AC42" s="308"/>
      <c r="AD42" s="308"/>
      <c r="AE42" s="308"/>
      <c r="AF42" s="309">
        <v>0.11428688489208637</v>
      </c>
      <c r="AG42" s="309">
        <v>0.02021942446043162</v>
      </c>
      <c r="AH42" s="308"/>
      <c r="AI42" s="308"/>
      <c r="AJ42" s="307">
        <v>2376</v>
      </c>
      <c r="AK42" s="290">
        <f t="shared" si="0"/>
        <v>40</v>
      </c>
      <c r="AL42" s="290">
        <f t="shared" si="1"/>
        <v>54.15384615384615</v>
      </c>
      <c r="AM42" s="308"/>
      <c r="AN42" s="308"/>
      <c r="AO42" s="308"/>
      <c r="AP42" s="307">
        <v>26.145</v>
      </c>
      <c r="AQ42" s="307"/>
      <c r="AR42" s="307"/>
      <c r="AS42" s="307">
        <v>7.843499999999999</v>
      </c>
      <c r="AT42" s="307"/>
    </row>
    <row r="43" spans="1:46" ht="36">
      <c r="A43" s="21">
        <v>39</v>
      </c>
      <c r="B43" s="293" t="s">
        <v>32</v>
      </c>
      <c r="C43" s="279" t="s">
        <v>751</v>
      </c>
      <c r="D43" s="279" t="s">
        <v>2435</v>
      </c>
      <c r="E43" s="279" t="s">
        <v>716</v>
      </c>
      <c r="F43" s="274" t="s">
        <v>2460</v>
      </c>
      <c r="G43" s="298">
        <v>3.1</v>
      </c>
      <c r="H43" s="298">
        <v>46.5</v>
      </c>
      <c r="I43" s="293" t="s">
        <v>2465</v>
      </c>
      <c r="J43" s="289">
        <v>1013713</v>
      </c>
      <c r="K43" s="289">
        <v>252038</v>
      </c>
      <c r="L43" s="283" t="s">
        <v>2455</v>
      </c>
      <c r="M43" s="279" t="s">
        <v>0</v>
      </c>
      <c r="N43" s="272" t="s">
        <v>783</v>
      </c>
      <c r="O43" s="272" t="s">
        <v>784</v>
      </c>
      <c r="P43" s="272" t="s">
        <v>785</v>
      </c>
      <c r="Q43" s="299">
        <v>25</v>
      </c>
      <c r="R43" s="307">
        <v>40.92</v>
      </c>
      <c r="S43" s="307">
        <v>25.08675</v>
      </c>
      <c r="T43" s="307">
        <v>3.2736</v>
      </c>
      <c r="U43" s="308"/>
      <c r="V43" s="308">
        <v>6</v>
      </c>
      <c r="W43" s="5">
        <v>0.01</v>
      </c>
      <c r="X43" s="308"/>
      <c r="Y43" s="308"/>
      <c r="Z43" s="307">
        <v>30.225</v>
      </c>
      <c r="AA43" s="308"/>
      <c r="AB43" s="308"/>
      <c r="AC43" s="308"/>
      <c r="AD43" s="308"/>
      <c r="AE43" s="308"/>
      <c r="AF43" s="309">
        <v>0.270647773381295</v>
      </c>
      <c r="AG43" s="309">
        <v>0.01</v>
      </c>
      <c r="AH43" s="308"/>
      <c r="AI43" s="308"/>
      <c r="AJ43" s="307">
        <v>1636.8000000000002</v>
      </c>
      <c r="AK43" s="290">
        <f t="shared" si="0"/>
        <v>40</v>
      </c>
      <c r="AL43" s="290">
        <f t="shared" si="1"/>
        <v>54.15384615384616</v>
      </c>
      <c r="AM43" s="308"/>
      <c r="AN43" s="308"/>
      <c r="AO43" s="308"/>
      <c r="AP43" s="307"/>
      <c r="AQ43" s="307"/>
      <c r="AR43" s="307"/>
      <c r="AS43" s="307">
        <v>3.2</v>
      </c>
      <c r="AT43" s="307"/>
    </row>
    <row r="44" spans="1:46" ht="36">
      <c r="A44" s="21">
        <v>40</v>
      </c>
      <c r="B44" s="288" t="s">
        <v>33</v>
      </c>
      <c r="C44" s="279" t="s">
        <v>751</v>
      </c>
      <c r="D44" s="279" t="s">
        <v>2435</v>
      </c>
      <c r="E44" s="279" t="s">
        <v>716</v>
      </c>
      <c r="F44" s="28" t="s">
        <v>780</v>
      </c>
      <c r="G44" s="298">
        <v>1.1</v>
      </c>
      <c r="H44" s="298">
        <v>16.5</v>
      </c>
      <c r="I44" s="294" t="s">
        <v>34</v>
      </c>
      <c r="J44" s="295">
        <v>1014302</v>
      </c>
      <c r="K44" s="295">
        <v>253557</v>
      </c>
      <c r="L44" s="283" t="s">
        <v>2437</v>
      </c>
      <c r="M44" s="279" t="s">
        <v>2</v>
      </c>
      <c r="N44" s="272" t="s">
        <v>783</v>
      </c>
      <c r="O44" s="272" t="s">
        <v>784</v>
      </c>
      <c r="P44" s="272" t="s">
        <v>785</v>
      </c>
      <c r="Q44" s="299">
        <v>22</v>
      </c>
      <c r="R44" s="307">
        <v>14.52</v>
      </c>
      <c r="S44" s="307">
        <v>8.90175</v>
      </c>
      <c r="T44" s="307">
        <v>1.1616</v>
      </c>
      <c r="U44" s="308"/>
      <c r="V44" s="308">
        <v>2</v>
      </c>
      <c r="W44" s="5">
        <v>0.01</v>
      </c>
      <c r="X44" s="308"/>
      <c r="Y44" s="308"/>
      <c r="Z44" s="307">
        <v>10.725</v>
      </c>
      <c r="AA44" s="308"/>
      <c r="AB44" s="308"/>
      <c r="AC44" s="308"/>
      <c r="AD44" s="308"/>
      <c r="AE44" s="308"/>
      <c r="AF44" s="309">
        <v>0.019614392805755398</v>
      </c>
      <c r="AG44" s="309">
        <v>0.009103726618705036</v>
      </c>
      <c r="AH44" s="308"/>
      <c r="AI44" s="308"/>
      <c r="AJ44" s="307">
        <v>580.8</v>
      </c>
      <c r="AK44" s="290">
        <f t="shared" si="0"/>
        <v>40</v>
      </c>
      <c r="AL44" s="290">
        <f t="shared" si="1"/>
        <v>54.15384615384615</v>
      </c>
      <c r="AM44" s="308"/>
      <c r="AN44" s="308"/>
      <c r="AO44" s="308"/>
      <c r="AP44" s="307">
        <v>0</v>
      </c>
      <c r="AQ44" s="307">
        <v>0</v>
      </c>
      <c r="AR44" s="307"/>
      <c r="AS44" s="307">
        <v>0</v>
      </c>
      <c r="AT44" s="307"/>
    </row>
    <row r="45" spans="1:46" ht="36">
      <c r="A45" s="21">
        <v>41</v>
      </c>
      <c r="B45" s="294" t="s">
        <v>35</v>
      </c>
      <c r="C45" s="279" t="s">
        <v>751</v>
      </c>
      <c r="D45" s="279" t="s">
        <v>2435</v>
      </c>
      <c r="E45" s="279" t="s">
        <v>716</v>
      </c>
      <c r="F45" s="294" t="s">
        <v>778</v>
      </c>
      <c r="G45" s="298">
        <v>3.2</v>
      </c>
      <c r="H45" s="298">
        <v>48</v>
      </c>
      <c r="I45" s="294" t="s">
        <v>36</v>
      </c>
      <c r="J45" s="295">
        <v>1013147</v>
      </c>
      <c r="K45" s="295">
        <v>251519</v>
      </c>
      <c r="L45" s="283" t="s">
        <v>2437</v>
      </c>
      <c r="M45" s="279" t="s">
        <v>2</v>
      </c>
      <c r="N45" s="272" t="s">
        <v>783</v>
      </c>
      <c r="O45" s="272" t="s">
        <v>784</v>
      </c>
      <c r="P45" s="272" t="s">
        <v>785</v>
      </c>
      <c r="Q45" s="299">
        <v>24</v>
      </c>
      <c r="R45" s="307">
        <v>42.24</v>
      </c>
      <c r="S45" s="307">
        <v>25.896</v>
      </c>
      <c r="T45" s="307">
        <v>3.3792000000000004</v>
      </c>
      <c r="U45" s="308"/>
      <c r="V45" s="308">
        <v>1.9</v>
      </c>
      <c r="W45" s="5">
        <v>0.01</v>
      </c>
      <c r="X45" s="308"/>
      <c r="Y45" s="308"/>
      <c r="Z45" s="307">
        <v>31.200000000000003</v>
      </c>
      <c r="AA45" s="308"/>
      <c r="AB45" s="308"/>
      <c r="AC45" s="308"/>
      <c r="AD45" s="308"/>
      <c r="AE45" s="308"/>
      <c r="AF45" s="309">
        <v>0.06969913093525178</v>
      </c>
      <c r="AG45" s="309">
        <v>0.020164028776978423</v>
      </c>
      <c r="AH45" s="308"/>
      <c r="AI45" s="308"/>
      <c r="AJ45" s="307">
        <v>1689.6000000000001</v>
      </c>
      <c r="AK45" s="290">
        <f t="shared" si="0"/>
        <v>40</v>
      </c>
      <c r="AL45" s="290">
        <f t="shared" si="1"/>
        <v>54.15384615384615</v>
      </c>
      <c r="AM45" s="308"/>
      <c r="AN45" s="308"/>
      <c r="AO45" s="308"/>
      <c r="AP45" s="307">
        <v>1.2</v>
      </c>
      <c r="AQ45" s="307">
        <v>0.5</v>
      </c>
      <c r="AR45" s="307"/>
      <c r="AS45" s="307">
        <v>3.9</v>
      </c>
      <c r="AT45" s="307"/>
    </row>
    <row r="46" spans="1:46" ht="36">
      <c r="A46" s="21">
        <v>42</v>
      </c>
      <c r="B46" s="293" t="s">
        <v>37</v>
      </c>
      <c r="C46" s="279" t="s">
        <v>751</v>
      </c>
      <c r="D46" s="279" t="s">
        <v>2435</v>
      </c>
      <c r="E46" s="279" t="s">
        <v>716</v>
      </c>
      <c r="F46" s="274" t="s">
        <v>3</v>
      </c>
      <c r="G46" s="298">
        <v>2.6</v>
      </c>
      <c r="H46" s="298">
        <v>39</v>
      </c>
      <c r="I46" s="293" t="s">
        <v>802</v>
      </c>
      <c r="J46" s="295">
        <v>1013434</v>
      </c>
      <c r="K46" s="295">
        <v>251651</v>
      </c>
      <c r="L46" s="283" t="s">
        <v>2455</v>
      </c>
      <c r="M46" s="279" t="s">
        <v>0</v>
      </c>
      <c r="N46" s="272" t="s">
        <v>783</v>
      </c>
      <c r="O46" s="272" t="s">
        <v>784</v>
      </c>
      <c r="P46" s="272" t="s">
        <v>785</v>
      </c>
      <c r="Q46" s="299">
        <v>16.5</v>
      </c>
      <c r="R46" s="307">
        <v>34.32</v>
      </c>
      <c r="S46" s="307">
        <v>21.0405</v>
      </c>
      <c r="T46" s="307">
        <v>2.7456</v>
      </c>
      <c r="U46" s="308"/>
      <c r="V46" s="308">
        <v>3.5</v>
      </c>
      <c r="W46" s="5">
        <v>0.01</v>
      </c>
      <c r="X46" s="308"/>
      <c r="Y46" s="308"/>
      <c r="Z46" s="307">
        <v>25.35</v>
      </c>
      <c r="AA46" s="308"/>
      <c r="AB46" s="308"/>
      <c r="AC46" s="308"/>
      <c r="AD46" s="308"/>
      <c r="AE46" s="308"/>
      <c r="AF46" s="309">
        <v>0.046361292086330934</v>
      </c>
      <c r="AG46" s="309">
        <v>0.021517899280575542</v>
      </c>
      <c r="AH46" s="308"/>
      <c r="AI46" s="308"/>
      <c r="AJ46" s="307">
        <v>1372.8</v>
      </c>
      <c r="AK46" s="290">
        <f t="shared" si="0"/>
        <v>40</v>
      </c>
      <c r="AL46" s="290">
        <f t="shared" si="1"/>
        <v>54.153846153846146</v>
      </c>
      <c r="AM46" s="308"/>
      <c r="AN46" s="308"/>
      <c r="AO46" s="308"/>
      <c r="AP46" s="307"/>
      <c r="AQ46" s="307"/>
      <c r="AR46" s="307"/>
      <c r="AS46" s="307">
        <v>6.1</v>
      </c>
      <c r="AT46" s="307"/>
    </row>
    <row r="47" spans="1:46" ht="36">
      <c r="A47" s="21">
        <v>43</v>
      </c>
      <c r="B47" s="306" t="s">
        <v>803</v>
      </c>
      <c r="C47" s="279" t="s">
        <v>751</v>
      </c>
      <c r="D47" s="279" t="s">
        <v>2435</v>
      </c>
      <c r="E47" s="279" t="s">
        <v>716</v>
      </c>
      <c r="F47" s="274" t="s">
        <v>3</v>
      </c>
      <c r="G47" s="298">
        <v>5.5</v>
      </c>
      <c r="H47" s="298">
        <v>82.5</v>
      </c>
      <c r="I47" s="293" t="s">
        <v>791</v>
      </c>
      <c r="J47" s="295">
        <v>1012642</v>
      </c>
      <c r="K47" s="295">
        <v>252214</v>
      </c>
      <c r="L47" s="283" t="s">
        <v>2455</v>
      </c>
      <c r="M47" s="279" t="s">
        <v>0</v>
      </c>
      <c r="N47" s="272" t="s">
        <v>783</v>
      </c>
      <c r="O47" s="272" t="s">
        <v>784</v>
      </c>
      <c r="P47" s="272" t="s">
        <v>785</v>
      </c>
      <c r="Q47" s="299">
        <v>22.5</v>
      </c>
      <c r="R47" s="307">
        <v>72.6</v>
      </c>
      <c r="S47" s="307">
        <v>44.50875</v>
      </c>
      <c r="T47" s="307">
        <v>5.808</v>
      </c>
      <c r="U47" s="308"/>
      <c r="V47" s="308">
        <v>6</v>
      </c>
      <c r="W47" s="5">
        <v>0.01</v>
      </c>
      <c r="X47" s="308"/>
      <c r="Y47" s="308"/>
      <c r="Z47" s="307">
        <v>53.625</v>
      </c>
      <c r="AA47" s="308"/>
      <c r="AB47" s="308"/>
      <c r="AC47" s="308"/>
      <c r="AD47" s="308"/>
      <c r="AE47" s="308"/>
      <c r="AF47" s="309">
        <v>0.15652649640287772</v>
      </c>
      <c r="AG47" s="309">
        <v>0.016291366906474817</v>
      </c>
      <c r="AH47" s="308"/>
      <c r="AI47" s="308"/>
      <c r="AJ47" s="307">
        <v>2904</v>
      </c>
      <c r="AK47" s="290">
        <f t="shared" si="0"/>
        <v>40</v>
      </c>
      <c r="AL47" s="290">
        <f t="shared" si="1"/>
        <v>54.15384615384615</v>
      </c>
      <c r="AM47" s="308"/>
      <c r="AN47" s="308"/>
      <c r="AO47" s="308"/>
      <c r="AP47" s="307"/>
      <c r="AQ47" s="307"/>
      <c r="AR47" s="307"/>
      <c r="AS47" s="307">
        <v>12.1</v>
      </c>
      <c r="AT47" s="307"/>
    </row>
    <row r="48" spans="1:46" ht="36">
      <c r="A48" s="21">
        <v>44</v>
      </c>
      <c r="B48" s="293" t="s">
        <v>804</v>
      </c>
      <c r="C48" s="279" t="s">
        <v>751</v>
      </c>
      <c r="D48" s="279" t="s">
        <v>2435</v>
      </c>
      <c r="E48" s="279" t="s">
        <v>716</v>
      </c>
      <c r="F48" s="274" t="s">
        <v>3</v>
      </c>
      <c r="G48" s="298">
        <v>2</v>
      </c>
      <c r="H48" s="298">
        <v>30</v>
      </c>
      <c r="I48" s="293" t="s">
        <v>805</v>
      </c>
      <c r="J48" s="295">
        <v>1013147</v>
      </c>
      <c r="K48" s="295">
        <v>252055</v>
      </c>
      <c r="L48" s="283" t="s">
        <v>2455</v>
      </c>
      <c r="M48" s="279" t="s">
        <v>0</v>
      </c>
      <c r="N48" s="272" t="s">
        <v>783</v>
      </c>
      <c r="O48" s="272" t="s">
        <v>784</v>
      </c>
      <c r="P48" s="272" t="s">
        <v>785</v>
      </c>
      <c r="Q48" s="299">
        <v>8</v>
      </c>
      <c r="R48" s="307">
        <v>26.4</v>
      </c>
      <c r="S48" s="307">
        <v>16.185</v>
      </c>
      <c r="T48" s="307">
        <v>2.112</v>
      </c>
      <c r="U48" s="308"/>
      <c r="V48" s="308">
        <v>2.3</v>
      </c>
      <c r="W48" s="5">
        <v>0.01</v>
      </c>
      <c r="X48" s="308"/>
      <c r="Y48" s="308"/>
      <c r="Z48" s="307">
        <v>19.5</v>
      </c>
      <c r="AA48" s="308"/>
      <c r="AB48" s="308"/>
      <c r="AC48" s="308"/>
      <c r="AD48" s="308"/>
      <c r="AE48" s="308"/>
      <c r="AF48" s="309">
        <v>0.03566253237410072</v>
      </c>
      <c r="AG48" s="309">
        <v>0.016552230215827333</v>
      </c>
      <c r="AH48" s="308"/>
      <c r="AI48" s="308"/>
      <c r="AJ48" s="307">
        <v>1056</v>
      </c>
      <c r="AK48" s="290">
        <f t="shared" si="0"/>
        <v>40</v>
      </c>
      <c r="AL48" s="290">
        <f t="shared" si="1"/>
        <v>54.15384615384615</v>
      </c>
      <c r="AM48" s="308"/>
      <c r="AN48" s="308"/>
      <c r="AO48" s="308"/>
      <c r="AP48" s="307">
        <v>11.62</v>
      </c>
      <c r="AQ48" s="307">
        <v>4.98</v>
      </c>
      <c r="AR48" s="307"/>
      <c r="AS48" s="307"/>
      <c r="AT48" s="307"/>
    </row>
    <row r="49" spans="1:46" ht="36">
      <c r="A49" s="21">
        <v>45</v>
      </c>
      <c r="B49" s="293" t="s">
        <v>38</v>
      </c>
      <c r="C49" s="279" t="s">
        <v>751</v>
      </c>
      <c r="D49" s="279" t="s">
        <v>39</v>
      </c>
      <c r="E49" s="279" t="s">
        <v>716</v>
      </c>
      <c r="F49" s="274" t="s">
        <v>40</v>
      </c>
      <c r="G49" s="298">
        <v>1.15</v>
      </c>
      <c r="H49" s="298">
        <v>7.25</v>
      </c>
      <c r="I49" s="293" t="s">
        <v>41</v>
      </c>
      <c r="J49" s="295">
        <v>1012716</v>
      </c>
      <c r="K49" s="295">
        <v>252053</v>
      </c>
      <c r="L49" s="283" t="s">
        <v>42</v>
      </c>
      <c r="M49" s="279" t="s">
        <v>0</v>
      </c>
      <c r="N49" s="272" t="s">
        <v>783</v>
      </c>
      <c r="O49" s="272" t="s">
        <v>784</v>
      </c>
      <c r="P49" s="272" t="s">
        <v>785</v>
      </c>
      <c r="Q49" s="299">
        <v>13.2</v>
      </c>
      <c r="R49" s="299">
        <v>15.18</v>
      </c>
      <c r="S49" s="299">
        <v>9.306375</v>
      </c>
      <c r="T49" s="299">
        <v>1.2144</v>
      </c>
      <c r="U49" s="298"/>
      <c r="V49" s="298">
        <v>5</v>
      </c>
      <c r="W49" s="5">
        <v>0.05</v>
      </c>
      <c r="X49" s="298"/>
      <c r="Y49" s="298"/>
      <c r="Z49" s="299">
        <v>11.2125</v>
      </c>
      <c r="AA49" s="298"/>
      <c r="AB49" s="298"/>
      <c r="AC49" s="298" t="s">
        <v>41</v>
      </c>
      <c r="AD49" s="298"/>
      <c r="AE49" s="298"/>
      <c r="AF49" s="300">
        <v>0.02050595611510791</v>
      </c>
      <c r="AG49" s="300">
        <v>0.009517532374100716</v>
      </c>
      <c r="AH49" s="298"/>
      <c r="AI49" s="298"/>
      <c r="AJ49" s="299">
        <v>607.2</v>
      </c>
      <c r="AK49" s="290">
        <f>AJ49/R49</f>
        <v>40.00000000000001</v>
      </c>
      <c r="AL49" s="290">
        <f>AJ49/Z49</f>
        <v>54.15384615384615</v>
      </c>
      <c r="AM49" s="298"/>
      <c r="AN49" s="298"/>
      <c r="AO49" s="298"/>
      <c r="AP49" s="299">
        <v>2.3</v>
      </c>
      <c r="AQ49" s="299">
        <v>1.4</v>
      </c>
      <c r="AR49" s="299"/>
      <c r="AS49" s="299">
        <v>5.4</v>
      </c>
      <c r="AT49" s="299"/>
    </row>
    <row r="50" spans="1:46" ht="36">
      <c r="A50" s="21">
        <v>46</v>
      </c>
      <c r="B50" s="509" t="s">
        <v>1609</v>
      </c>
      <c r="C50" s="279" t="s">
        <v>751</v>
      </c>
      <c r="D50" s="279" t="s">
        <v>718</v>
      </c>
      <c r="E50" s="279" t="s">
        <v>716</v>
      </c>
      <c r="F50" s="280" t="s">
        <v>780</v>
      </c>
      <c r="G50" s="298">
        <v>1.27</v>
      </c>
      <c r="H50" s="298">
        <f>G50*18</f>
        <v>22.86</v>
      </c>
      <c r="I50" s="294" t="s">
        <v>1610</v>
      </c>
      <c r="J50" s="295">
        <v>1013335</v>
      </c>
      <c r="K50" s="295">
        <v>252349</v>
      </c>
      <c r="L50" s="283" t="s">
        <v>1611</v>
      </c>
      <c r="M50" s="279" t="s">
        <v>0</v>
      </c>
      <c r="N50" s="272" t="s">
        <v>783</v>
      </c>
      <c r="O50" s="272" t="s">
        <v>1612</v>
      </c>
      <c r="P50" s="272" t="s">
        <v>785</v>
      </c>
      <c r="Q50" s="299">
        <v>16.4</v>
      </c>
      <c r="R50" s="299">
        <v>17.62</v>
      </c>
      <c r="S50" s="299">
        <v>11.32</v>
      </c>
      <c r="T50" s="299">
        <v>2.14</v>
      </c>
      <c r="U50" s="298"/>
      <c r="V50" s="298">
        <v>1.74</v>
      </c>
      <c r="W50" s="5">
        <v>0.03</v>
      </c>
      <c r="X50" s="298"/>
      <c r="Y50" s="298"/>
      <c r="Z50" s="299">
        <v>13</v>
      </c>
      <c r="AA50" s="298"/>
      <c r="AB50" s="298"/>
      <c r="AC50" s="298"/>
      <c r="AD50" s="298"/>
      <c r="AE50" s="298"/>
      <c r="AF50" s="300"/>
      <c r="AG50" s="300">
        <v>0.425</v>
      </c>
      <c r="AH50" s="298"/>
      <c r="AI50" s="298"/>
      <c r="AJ50" s="299">
        <v>305</v>
      </c>
      <c r="AK50" s="290">
        <v>17.29</v>
      </c>
      <c r="AL50" s="290">
        <f>AJ50/Z50</f>
        <v>23.46153846153846</v>
      </c>
      <c r="AM50" s="298"/>
      <c r="AN50" s="298"/>
      <c r="AO50" s="298"/>
      <c r="AP50" s="299">
        <v>5.47</v>
      </c>
      <c r="AQ50" s="299">
        <v>4.12</v>
      </c>
      <c r="AR50" s="299"/>
      <c r="AS50" s="299">
        <v>0.56</v>
      </c>
      <c r="AT50" s="299"/>
    </row>
    <row r="51" spans="1:46" ht="36">
      <c r="A51" s="21">
        <v>47</v>
      </c>
      <c r="B51" s="509" t="s">
        <v>629</v>
      </c>
      <c r="C51" s="279" t="s">
        <v>751</v>
      </c>
      <c r="D51" s="279" t="s">
        <v>718</v>
      </c>
      <c r="E51" s="279" t="s">
        <v>716</v>
      </c>
      <c r="F51" s="280" t="s">
        <v>780</v>
      </c>
      <c r="G51" s="298">
        <v>1.47</v>
      </c>
      <c r="H51" s="298">
        <f>G51*18</f>
        <v>26.46</v>
      </c>
      <c r="I51" s="500" t="s">
        <v>630</v>
      </c>
      <c r="J51" s="295">
        <v>1013335</v>
      </c>
      <c r="K51" s="295">
        <v>252349</v>
      </c>
      <c r="L51" s="283" t="s">
        <v>1611</v>
      </c>
      <c r="M51" s="279" t="s">
        <v>0</v>
      </c>
      <c r="N51" s="272" t="s">
        <v>783</v>
      </c>
      <c r="O51" s="272" t="s">
        <v>1612</v>
      </c>
      <c r="P51" s="272" t="s">
        <v>785</v>
      </c>
      <c r="Q51" s="299">
        <v>15</v>
      </c>
      <c r="R51" s="299">
        <v>21.5</v>
      </c>
      <c r="S51" s="299">
        <f>R51*0.85</f>
        <v>18.275</v>
      </c>
      <c r="T51" s="299">
        <f>S51*0.1</f>
        <v>1.8275</v>
      </c>
      <c r="U51" s="298"/>
      <c r="V51" s="298">
        <v>1.9</v>
      </c>
      <c r="W51" s="5">
        <v>0.02</v>
      </c>
      <c r="X51" s="298"/>
      <c r="Y51" s="298"/>
      <c r="Z51" s="299">
        <f>S51*1.15</f>
        <v>21.016249999999996</v>
      </c>
      <c r="AA51" s="298"/>
      <c r="AB51" s="298"/>
      <c r="AC51" s="298"/>
      <c r="AD51" s="298"/>
      <c r="AE51" s="298"/>
      <c r="AF51" s="300"/>
      <c r="AG51" s="300">
        <v>0.05</v>
      </c>
      <c r="AH51" s="298"/>
      <c r="AI51" s="298"/>
      <c r="AJ51" s="299">
        <v>870</v>
      </c>
      <c r="AK51" s="290">
        <f>AJ51/R51</f>
        <v>40.46511627906977</v>
      </c>
      <c r="AL51" s="290">
        <f>AJ51/Z51</f>
        <v>41.39653839291026</v>
      </c>
      <c r="AM51" s="298"/>
      <c r="AN51" s="298"/>
      <c r="AO51" s="298"/>
      <c r="AP51" s="299">
        <v>10.3</v>
      </c>
      <c r="AQ51" s="299">
        <v>4.8</v>
      </c>
      <c r="AR51" s="299"/>
      <c r="AS51" s="299">
        <v>1.3</v>
      </c>
      <c r="AT51" s="299"/>
    </row>
    <row r="52" spans="1:71" s="611" customFormat="1" ht="36">
      <c r="A52" s="595">
        <v>48</v>
      </c>
      <c r="B52" s="596" t="s">
        <v>2557</v>
      </c>
      <c r="C52" s="597" t="s">
        <v>2558</v>
      </c>
      <c r="D52" s="598" t="s">
        <v>2559</v>
      </c>
      <c r="E52" s="599" t="s">
        <v>716</v>
      </c>
      <c r="F52" s="600" t="s">
        <v>780</v>
      </c>
      <c r="G52" s="593">
        <v>2.5</v>
      </c>
      <c r="H52" s="593">
        <v>45</v>
      </c>
      <c r="I52" s="601" t="s">
        <v>2560</v>
      </c>
      <c r="J52" s="602">
        <v>1013603</v>
      </c>
      <c r="K52" s="602">
        <v>252741</v>
      </c>
      <c r="L52" s="603" t="s">
        <v>1611</v>
      </c>
      <c r="M52" s="599" t="s">
        <v>2561</v>
      </c>
      <c r="N52" s="604" t="s">
        <v>2562</v>
      </c>
      <c r="O52" s="604" t="s">
        <v>784</v>
      </c>
      <c r="P52" s="604" t="s">
        <v>785</v>
      </c>
      <c r="Q52" s="593">
        <v>18</v>
      </c>
      <c r="R52" s="593">
        <v>37.35</v>
      </c>
      <c r="S52" s="593">
        <v>24.651000000000003</v>
      </c>
      <c r="T52" s="593">
        <v>3.2121</v>
      </c>
      <c r="U52" s="593"/>
      <c r="V52" s="593">
        <v>2.3</v>
      </c>
      <c r="W52" s="593">
        <v>0.01</v>
      </c>
      <c r="X52" s="593"/>
      <c r="Y52" s="593"/>
      <c r="Z52" s="593">
        <v>34.5114</v>
      </c>
      <c r="AA52" s="593"/>
      <c r="AB52" s="593"/>
      <c r="AC52" s="593"/>
      <c r="AD52" s="593"/>
      <c r="AE52" s="593"/>
      <c r="AF52" s="593">
        <v>0.06</v>
      </c>
      <c r="AG52" s="593">
        <v>0.02069028776978417</v>
      </c>
      <c r="AH52" s="593"/>
      <c r="AI52" s="593"/>
      <c r="AJ52" s="605">
        <v>1494</v>
      </c>
      <c r="AK52" s="606">
        <f>AJ52/R52</f>
        <v>40</v>
      </c>
      <c r="AL52" s="606">
        <f>AJ52/Z52</f>
        <v>43.290043290043286</v>
      </c>
      <c r="AM52" s="593"/>
      <c r="AN52" s="593"/>
      <c r="AO52" s="593"/>
      <c r="AP52" s="593">
        <v>110</v>
      </c>
      <c r="AQ52" s="593">
        <v>6.225</v>
      </c>
      <c r="AR52" s="593"/>
      <c r="AS52" s="593">
        <v>10</v>
      </c>
      <c r="AT52" s="593"/>
      <c r="AU52" s="607"/>
      <c r="AV52" s="607"/>
      <c r="AW52" s="607"/>
      <c r="AX52" s="607"/>
      <c r="AY52" s="607"/>
      <c r="AZ52" s="607"/>
      <c r="BA52" s="607"/>
      <c r="BB52" s="607"/>
      <c r="BC52" s="607"/>
      <c r="BD52" s="607"/>
      <c r="BE52" s="607"/>
      <c r="BF52" s="607"/>
      <c r="BG52" s="607"/>
      <c r="BH52" s="607"/>
      <c r="BI52" s="608"/>
      <c r="BJ52" s="608"/>
      <c r="BK52" s="607"/>
      <c r="BL52" s="607"/>
      <c r="BM52" s="607"/>
      <c r="BN52" s="607"/>
      <c r="BO52" s="607"/>
      <c r="BP52" s="607"/>
      <c r="BQ52" s="609"/>
      <c r="BR52" s="610"/>
      <c r="BS52" s="610"/>
    </row>
    <row r="53" spans="1:46" ht="13.5">
      <c r="A53" s="310"/>
      <c r="B53" s="310"/>
      <c r="C53" s="310"/>
      <c r="D53" s="310">
        <f>SUM(D5:D50)</f>
        <v>0</v>
      </c>
      <c r="E53" s="310">
        <f>SUM(E5:E50)</f>
        <v>0</v>
      </c>
      <c r="F53" s="310">
        <f>SUM(F5:F50)</f>
        <v>0</v>
      </c>
      <c r="G53" s="594">
        <f>SUM(G5:G52)</f>
        <v>141.39000000000001</v>
      </c>
      <c r="H53" s="594">
        <f aca="true" t="shared" si="2" ref="H53:AT53">SUM(H5:H52)</f>
        <v>2564.3900000000003</v>
      </c>
      <c r="I53" s="594">
        <f t="shared" si="2"/>
        <v>0</v>
      </c>
      <c r="J53" s="594">
        <f t="shared" si="2"/>
        <v>47737561</v>
      </c>
      <c r="K53" s="594">
        <f t="shared" si="2"/>
        <v>12110167</v>
      </c>
      <c r="L53" s="594">
        <f t="shared" si="2"/>
        <v>0</v>
      </c>
      <c r="M53" s="594">
        <f t="shared" si="2"/>
        <v>0</v>
      </c>
      <c r="N53" s="594">
        <f t="shared" si="2"/>
        <v>0</v>
      </c>
      <c r="O53" s="594">
        <f t="shared" si="2"/>
        <v>0</v>
      </c>
      <c r="P53" s="594">
        <f t="shared" si="2"/>
        <v>0</v>
      </c>
      <c r="Q53" s="594">
        <f t="shared" si="2"/>
        <v>943.3000000000001</v>
      </c>
      <c r="R53" s="594">
        <f t="shared" si="2"/>
        <v>1625.2819999999997</v>
      </c>
      <c r="S53" s="594">
        <f t="shared" si="2"/>
        <v>1085.0409249999998</v>
      </c>
      <c r="T53" s="594">
        <f t="shared" si="2"/>
        <v>123.06295999999998</v>
      </c>
      <c r="U53" s="594">
        <f t="shared" si="2"/>
        <v>10.9</v>
      </c>
      <c r="V53" s="594">
        <f t="shared" si="2"/>
        <v>152.84000000000003</v>
      </c>
      <c r="W53" s="594">
        <f t="shared" si="2"/>
        <v>1.1800000000000006</v>
      </c>
      <c r="X53" s="594">
        <f t="shared" si="2"/>
        <v>14.8</v>
      </c>
      <c r="Y53" s="594">
        <f t="shared" si="2"/>
        <v>1651</v>
      </c>
      <c r="Z53" s="594">
        <f t="shared" si="2"/>
        <v>1311.06515</v>
      </c>
      <c r="AA53" s="594">
        <f t="shared" si="2"/>
        <v>0</v>
      </c>
      <c r="AB53" s="594">
        <f t="shared" si="2"/>
        <v>0</v>
      </c>
      <c r="AC53" s="594">
        <f t="shared" si="2"/>
        <v>0</v>
      </c>
      <c r="AD53" s="594">
        <f t="shared" si="2"/>
        <v>0.899</v>
      </c>
      <c r="AE53" s="594">
        <f t="shared" si="2"/>
        <v>0.7949999999999999</v>
      </c>
      <c r="AF53" s="594">
        <f t="shared" si="2"/>
        <v>2.5324213871223025</v>
      </c>
      <c r="AG53" s="594">
        <f t="shared" si="2"/>
        <v>1.9125915920863306</v>
      </c>
      <c r="AH53" s="594">
        <f t="shared" si="2"/>
        <v>0.076</v>
      </c>
      <c r="AI53" s="594">
        <f t="shared" si="2"/>
        <v>0.063</v>
      </c>
      <c r="AJ53" s="594">
        <f t="shared" si="2"/>
        <v>64334.18</v>
      </c>
      <c r="AK53" s="594">
        <f t="shared" si="2"/>
        <v>1895.167802847634</v>
      </c>
      <c r="AL53" s="594">
        <f t="shared" si="2"/>
        <v>2332.455469460995</v>
      </c>
      <c r="AM53" s="594">
        <f t="shared" si="2"/>
        <v>0</v>
      </c>
      <c r="AN53" s="594">
        <f t="shared" si="2"/>
        <v>53</v>
      </c>
      <c r="AO53" s="594">
        <f t="shared" si="2"/>
        <v>0</v>
      </c>
      <c r="AP53" s="594">
        <f t="shared" si="2"/>
        <v>315.96833333333336</v>
      </c>
      <c r="AQ53" s="594">
        <f t="shared" si="2"/>
        <v>98.06500000000001</v>
      </c>
      <c r="AR53" s="594">
        <f t="shared" si="2"/>
        <v>83.4</v>
      </c>
      <c r="AS53" s="594">
        <f t="shared" si="2"/>
        <v>276.45225</v>
      </c>
      <c r="AT53" s="594">
        <f t="shared" si="2"/>
        <v>0</v>
      </c>
    </row>
  </sheetData>
  <sheetProtection/>
  <mergeCells count="44">
    <mergeCell ref="F2:F4"/>
    <mergeCell ref="G2:G4"/>
    <mergeCell ref="J2:K2"/>
    <mergeCell ref="L2:L4"/>
    <mergeCell ref="M2:M4"/>
    <mergeCell ref="N2:O2"/>
    <mergeCell ref="H2:H4"/>
    <mergeCell ref="I2:I4"/>
    <mergeCell ref="A1:AT1"/>
    <mergeCell ref="A2:A4"/>
    <mergeCell ref="B2:B4"/>
    <mergeCell ref="C2:C4"/>
    <mergeCell ref="D2:D4"/>
    <mergeCell ref="E2:E4"/>
    <mergeCell ref="AS3:AS4"/>
    <mergeCell ref="AT3:AT4"/>
    <mergeCell ref="AF3:AG3"/>
    <mergeCell ref="AH3:AI3"/>
    <mergeCell ref="P2:P4"/>
    <mergeCell ref="Q2:Q4"/>
    <mergeCell ref="X3:Y3"/>
    <mergeCell ref="Z3:Z4"/>
    <mergeCell ref="S3:S4"/>
    <mergeCell ref="T3:T4"/>
    <mergeCell ref="AM3:AN3"/>
    <mergeCell ref="AO3:AO4"/>
    <mergeCell ref="AP3:AQ3"/>
    <mergeCell ref="AR3:AR4"/>
    <mergeCell ref="AM2:AT2"/>
    <mergeCell ref="J3:J4"/>
    <mergeCell ref="K3:K4"/>
    <mergeCell ref="N3:N4"/>
    <mergeCell ref="O3:O4"/>
    <mergeCell ref="R3:R4"/>
    <mergeCell ref="AK2:AK4"/>
    <mergeCell ref="AL2:AL4"/>
    <mergeCell ref="R2:U2"/>
    <mergeCell ref="V2:Y2"/>
    <mergeCell ref="Z2:AI2"/>
    <mergeCell ref="AJ2:AJ4"/>
    <mergeCell ref="U3:U4"/>
    <mergeCell ref="V3:W3"/>
    <mergeCell ref="AA3:AB3"/>
    <mergeCell ref="AC3:AE3"/>
  </mergeCells>
  <conditionalFormatting sqref="AF4:AI4">
    <cfRule type="cellIs" priority="1" dxfId="6" operator="equal" stopIfTrue="1">
      <formula>0</formula>
    </cfRule>
  </conditionalFormatting>
  <dataValidations count="4">
    <dataValidation type="list" allowBlank="1" showInputMessage="1" showErrorMessage="1" sqref="O5:O15 O18:O52">
      <formula1>"未开展,在编,完成,批复"</formula1>
    </dataValidation>
    <dataValidation type="list" allowBlank="1" showInputMessage="1" showErrorMessage="1" sqref="N5:N15 N18:N51">
      <formula1>"可研,初设"</formula1>
    </dataValidation>
    <dataValidation type="list" allowBlank="1" showInputMessage="1" showErrorMessage="1" sqref="E5">
      <formula1>"长江,珠江,红河,澜沧江,怒江,伊洛瓦底江"</formula1>
    </dataValidation>
    <dataValidation type="list" allowBlank="1" showInputMessage="1" showErrorMessage="1" sqref="P5:P52">
      <formula1>"土坝,面板坝,混合坝,碾压砼坝,其他"</formula1>
    </dataValidation>
  </dataValidations>
  <printOptions/>
  <pageMargins left="0.87" right="0.2755905511811024" top="0.7480314960629921" bottom="0.7480314960629921" header="0.31496062992125984" footer="0.31496062992125984"/>
  <pageSetup horizontalDpi="600" verticalDpi="600" orientation="portrait" paperSize="9" r:id="rId3"/>
  <headerFooter>
    <oddFooter>&amp;C第 &amp;P 页，共 &amp;N 页</oddFooter>
  </headerFooter>
  <legacyDrawing r:id="rId2"/>
</worksheet>
</file>

<file path=xl/worksheets/sheet4.xml><?xml version="1.0" encoding="utf-8"?>
<worksheet xmlns="http://schemas.openxmlformats.org/spreadsheetml/2006/main" xmlns:r="http://schemas.openxmlformats.org/officeDocument/2006/relationships">
  <sheetPr>
    <tabColor rgb="FF00B050"/>
  </sheetPr>
  <dimension ref="A1:AW18"/>
  <sheetViews>
    <sheetView zoomScalePageLayoutView="0" workbookViewId="0" topLeftCell="A1">
      <pane ySplit="4" topLeftCell="A14" activePane="bottomLeft" state="frozen"/>
      <selection pane="topLeft" activeCell="A1" sqref="A1"/>
      <selection pane="bottomLeft" activeCell="N8" sqref="N8"/>
    </sheetView>
  </sheetViews>
  <sheetFormatPr defaultColWidth="9.00390625" defaultRowHeight="13.5"/>
  <cols>
    <col min="1" max="2" width="9.00390625" style="260" customWidth="1"/>
    <col min="3" max="6" width="9.00390625" style="260" hidden="1" customWidth="1"/>
    <col min="7" max="7" width="9.00390625" style="260" customWidth="1"/>
    <col min="8" max="9" width="9.00390625" style="260" hidden="1" customWidth="1"/>
    <col min="10" max="10" width="9.00390625" style="260" customWidth="1"/>
    <col min="11" max="11" width="9.625" style="260" customWidth="1"/>
    <col min="12" max="14" width="9.00390625" style="260" customWidth="1"/>
    <col min="15" max="17" width="0" style="260" hidden="1" customWidth="1"/>
    <col min="18" max="19" width="9.00390625" style="260" customWidth="1"/>
    <col min="20" max="29" width="0" style="260" hidden="1" customWidth="1"/>
    <col min="30" max="30" width="8.00390625" style="260" customWidth="1"/>
    <col min="31" max="48" width="0" style="260" hidden="1" customWidth="1"/>
    <col min="49" max="16384" width="9.00390625" style="260" customWidth="1"/>
  </cols>
  <sheetData>
    <row r="1" spans="1:48" ht="18.75" customHeight="1">
      <c r="A1" s="714" t="s">
        <v>44</v>
      </c>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row>
    <row r="2" spans="1:48" s="311" customFormat="1" ht="15" customHeight="1">
      <c r="A2" s="713" t="s">
        <v>653</v>
      </c>
      <c r="B2" s="713"/>
      <c r="C2" s="713"/>
      <c r="D2" s="713"/>
      <c r="E2" s="713"/>
      <c r="F2" s="713"/>
      <c r="G2" s="713"/>
      <c r="H2" s="713"/>
      <c r="I2" s="713"/>
      <c r="J2" s="713" t="s">
        <v>654</v>
      </c>
      <c r="K2" s="713"/>
      <c r="L2" s="713"/>
      <c r="M2" s="713"/>
      <c r="N2" s="713" t="s">
        <v>655</v>
      </c>
      <c r="O2" s="713"/>
      <c r="P2" s="713"/>
      <c r="Q2" s="713"/>
      <c r="R2" s="713"/>
      <c r="S2" s="713"/>
      <c r="T2" s="713"/>
      <c r="U2" s="713" t="s">
        <v>656</v>
      </c>
      <c r="V2" s="713"/>
      <c r="W2" s="713" t="s">
        <v>657</v>
      </c>
      <c r="X2" s="713"/>
      <c r="Y2" s="713" t="s">
        <v>658</v>
      </c>
      <c r="Z2" s="713"/>
      <c r="AA2" s="713"/>
      <c r="AB2" s="713"/>
      <c r="AC2" s="713" t="s">
        <v>659</v>
      </c>
      <c r="AD2" s="713"/>
      <c r="AE2" s="713"/>
      <c r="AF2" s="713"/>
      <c r="AG2" s="713" t="s">
        <v>660</v>
      </c>
      <c r="AH2" s="713"/>
      <c r="AI2" s="713"/>
      <c r="AJ2" s="1"/>
      <c r="AK2" s="713" t="s">
        <v>661</v>
      </c>
      <c r="AL2" s="713"/>
      <c r="AM2" s="713"/>
      <c r="AN2" s="713"/>
      <c r="AO2" s="713"/>
      <c r="AP2" s="713"/>
      <c r="AQ2" s="715" t="s">
        <v>662</v>
      </c>
      <c r="AR2" s="715"/>
      <c r="AS2" s="715"/>
      <c r="AT2" s="715"/>
      <c r="AU2" s="715"/>
      <c r="AV2" s="715"/>
    </row>
    <row r="3" spans="1:48" s="315" customFormat="1" ht="240">
      <c r="A3" s="312" t="s">
        <v>663</v>
      </c>
      <c r="B3" s="312" t="s">
        <v>664</v>
      </c>
      <c r="C3" s="312" t="s">
        <v>665</v>
      </c>
      <c r="D3" s="312" t="s">
        <v>666</v>
      </c>
      <c r="E3" s="312" t="s">
        <v>667</v>
      </c>
      <c r="F3" s="312" t="s">
        <v>668</v>
      </c>
      <c r="G3" s="312" t="s">
        <v>647</v>
      </c>
      <c r="H3" s="312" t="s">
        <v>669</v>
      </c>
      <c r="I3" s="312" t="s">
        <v>648</v>
      </c>
      <c r="J3" s="312" t="s">
        <v>670</v>
      </c>
      <c r="K3" s="312" t="s">
        <v>671</v>
      </c>
      <c r="L3" s="312" t="s">
        <v>672</v>
      </c>
      <c r="M3" s="312" t="s">
        <v>673</v>
      </c>
      <c r="N3" s="312" t="s">
        <v>674</v>
      </c>
      <c r="O3" s="312" t="s">
        <v>675</v>
      </c>
      <c r="P3" s="312" t="s">
        <v>676</v>
      </c>
      <c r="Q3" s="312" t="s">
        <v>677</v>
      </c>
      <c r="R3" s="312" t="s">
        <v>678</v>
      </c>
      <c r="S3" s="312" t="s">
        <v>679</v>
      </c>
      <c r="T3" s="312" t="s">
        <v>680</v>
      </c>
      <c r="U3" s="312" t="s">
        <v>681</v>
      </c>
      <c r="V3" s="312" t="s">
        <v>682</v>
      </c>
      <c r="W3" s="312" t="s">
        <v>681</v>
      </c>
      <c r="X3" s="312" t="s">
        <v>682</v>
      </c>
      <c r="Y3" s="313" t="s">
        <v>683</v>
      </c>
      <c r="Z3" s="312" t="s">
        <v>684</v>
      </c>
      <c r="AA3" s="312" t="s">
        <v>685</v>
      </c>
      <c r="AB3" s="312" t="s">
        <v>686</v>
      </c>
      <c r="AC3" s="312" t="s">
        <v>687</v>
      </c>
      <c r="AD3" s="312" t="s">
        <v>649</v>
      </c>
      <c r="AE3" s="312" t="s">
        <v>688</v>
      </c>
      <c r="AF3" s="312" t="s">
        <v>689</v>
      </c>
      <c r="AG3" s="312" t="s">
        <v>690</v>
      </c>
      <c r="AH3" s="312" t="s">
        <v>691</v>
      </c>
      <c r="AI3" s="312" t="s">
        <v>692</v>
      </c>
      <c r="AJ3" s="312" t="s">
        <v>693</v>
      </c>
      <c r="AK3" s="712" t="s">
        <v>694</v>
      </c>
      <c r="AL3" s="712"/>
      <c r="AM3" s="712" t="s">
        <v>695</v>
      </c>
      <c r="AN3" s="712"/>
      <c r="AO3" s="712" t="s">
        <v>696</v>
      </c>
      <c r="AP3" s="712"/>
      <c r="AQ3" s="312" t="s">
        <v>697</v>
      </c>
      <c r="AR3" s="312" t="s">
        <v>698</v>
      </c>
      <c r="AS3" s="312" t="s">
        <v>699</v>
      </c>
      <c r="AT3" s="312" t="s">
        <v>700</v>
      </c>
      <c r="AU3" s="312" t="s">
        <v>701</v>
      </c>
      <c r="AV3" s="314" t="s">
        <v>702</v>
      </c>
    </row>
    <row r="4" spans="1:48" s="311" customFormat="1" ht="12">
      <c r="A4" s="314">
        <v>1</v>
      </c>
      <c r="B4" s="314">
        <v>2</v>
      </c>
      <c r="C4" s="314">
        <v>3</v>
      </c>
      <c r="D4" s="314">
        <v>4</v>
      </c>
      <c r="E4" s="314">
        <v>5</v>
      </c>
      <c r="F4" s="314">
        <v>6</v>
      </c>
      <c r="G4" s="314">
        <v>7</v>
      </c>
      <c r="H4" s="314">
        <v>8</v>
      </c>
      <c r="I4" s="314">
        <v>9</v>
      </c>
      <c r="J4" s="314">
        <v>10</v>
      </c>
      <c r="K4" s="314">
        <v>11</v>
      </c>
      <c r="L4" s="314">
        <v>12</v>
      </c>
      <c r="M4" s="314">
        <v>13</v>
      </c>
      <c r="N4" s="314">
        <v>14</v>
      </c>
      <c r="O4" s="314">
        <v>15</v>
      </c>
      <c r="P4" s="314">
        <v>16</v>
      </c>
      <c r="Q4" s="314">
        <v>17</v>
      </c>
      <c r="R4" s="314">
        <v>18</v>
      </c>
      <c r="S4" s="314">
        <v>19</v>
      </c>
      <c r="T4" s="314">
        <v>20</v>
      </c>
      <c r="U4" s="314">
        <v>21</v>
      </c>
      <c r="V4" s="314">
        <v>22</v>
      </c>
      <c r="W4" s="314">
        <v>23</v>
      </c>
      <c r="X4" s="314">
        <v>24</v>
      </c>
      <c r="Y4" s="316">
        <v>25</v>
      </c>
      <c r="Z4" s="314">
        <v>26</v>
      </c>
      <c r="AA4" s="314">
        <v>27</v>
      </c>
      <c r="AB4" s="314">
        <v>28</v>
      </c>
      <c r="AC4" s="314">
        <v>29</v>
      </c>
      <c r="AD4" s="314">
        <v>30</v>
      </c>
      <c r="AE4" s="314">
        <v>31</v>
      </c>
      <c r="AF4" s="314">
        <v>32</v>
      </c>
      <c r="AG4" s="314">
        <v>33</v>
      </c>
      <c r="AH4" s="314">
        <v>34</v>
      </c>
      <c r="AI4" s="314">
        <v>35</v>
      </c>
      <c r="AJ4" s="314">
        <v>36</v>
      </c>
      <c r="AK4" s="314">
        <v>37</v>
      </c>
      <c r="AL4" s="314">
        <v>38</v>
      </c>
      <c r="AM4" s="314">
        <v>39</v>
      </c>
      <c r="AN4" s="314">
        <v>40</v>
      </c>
      <c r="AO4" s="314">
        <v>41</v>
      </c>
      <c r="AP4" s="314">
        <v>42</v>
      </c>
      <c r="AQ4" s="314">
        <v>43</v>
      </c>
      <c r="AR4" s="314">
        <v>44</v>
      </c>
      <c r="AS4" s="314">
        <v>45</v>
      </c>
      <c r="AT4" s="314">
        <v>46</v>
      </c>
      <c r="AU4" s="314">
        <v>47</v>
      </c>
      <c r="AV4" s="314">
        <v>48</v>
      </c>
    </row>
    <row r="5" spans="1:48" s="322" customFormat="1" ht="29.25" customHeight="1">
      <c r="A5" s="317"/>
      <c r="B5" s="318"/>
      <c r="C5" s="318"/>
      <c r="D5" s="317"/>
      <c r="E5" s="317"/>
      <c r="F5" s="317"/>
      <c r="G5" s="317"/>
      <c r="H5" s="317"/>
      <c r="I5" s="317"/>
      <c r="J5" s="317"/>
      <c r="K5" s="317"/>
      <c r="L5" s="317"/>
      <c r="M5" s="2"/>
      <c r="N5" s="319" t="s">
        <v>703</v>
      </c>
      <c r="O5" s="319" t="s">
        <v>704</v>
      </c>
      <c r="P5" s="319" t="s">
        <v>704</v>
      </c>
      <c r="Q5" s="319" t="s">
        <v>703</v>
      </c>
      <c r="R5" s="317" t="s">
        <v>645</v>
      </c>
      <c r="S5" s="317" t="s">
        <v>703</v>
      </c>
      <c r="T5" s="319" t="s">
        <v>705</v>
      </c>
      <c r="U5" s="317"/>
      <c r="V5" s="317"/>
      <c r="W5" s="317"/>
      <c r="X5" s="317"/>
      <c r="Y5" s="320"/>
      <c r="Z5" s="317" t="s">
        <v>706</v>
      </c>
      <c r="AA5" s="317" t="s">
        <v>707</v>
      </c>
      <c r="AB5" s="317" t="s">
        <v>707</v>
      </c>
      <c r="AC5" s="317" t="s">
        <v>708</v>
      </c>
      <c r="AD5" s="317" t="s">
        <v>709</v>
      </c>
      <c r="AE5" s="317" t="s">
        <v>709</v>
      </c>
      <c r="AF5" s="317" t="s">
        <v>709</v>
      </c>
      <c r="AG5" s="317" t="s">
        <v>709</v>
      </c>
      <c r="AH5" s="317" t="s">
        <v>709</v>
      </c>
      <c r="AI5" s="317" t="s">
        <v>709</v>
      </c>
      <c r="AJ5" s="317"/>
      <c r="AK5" s="317" t="s">
        <v>710</v>
      </c>
      <c r="AL5" s="317" t="s">
        <v>711</v>
      </c>
      <c r="AM5" s="317" t="s">
        <v>710</v>
      </c>
      <c r="AN5" s="317" t="s">
        <v>711</v>
      </c>
      <c r="AO5" s="317" t="s">
        <v>710</v>
      </c>
      <c r="AP5" s="317" t="s">
        <v>711</v>
      </c>
      <c r="AQ5" s="317" t="s">
        <v>712</v>
      </c>
      <c r="AR5" s="317" t="s">
        <v>713</v>
      </c>
      <c r="AS5" s="317" t="s">
        <v>713</v>
      </c>
      <c r="AT5" s="317" t="s">
        <v>713</v>
      </c>
      <c r="AU5" s="317" t="s">
        <v>713</v>
      </c>
      <c r="AV5" s="321" t="s">
        <v>714</v>
      </c>
    </row>
    <row r="6" spans="1:48" s="325" customFormat="1" ht="36">
      <c r="A6" s="323" t="s">
        <v>715</v>
      </c>
      <c r="B6" s="298" t="s">
        <v>716</v>
      </c>
      <c r="C6" s="298" t="s">
        <v>717</v>
      </c>
      <c r="D6" s="298" t="s">
        <v>650</v>
      </c>
      <c r="E6" s="298" t="s">
        <v>718</v>
      </c>
      <c r="F6" s="298" t="s">
        <v>719</v>
      </c>
      <c r="G6" s="323" t="s">
        <v>720</v>
      </c>
      <c r="H6" s="298" t="s">
        <v>721</v>
      </c>
      <c r="I6" s="298" t="s">
        <v>722</v>
      </c>
      <c r="J6" s="298" t="s">
        <v>723</v>
      </c>
      <c r="K6" s="274" t="s">
        <v>724</v>
      </c>
      <c r="L6" s="298" t="s">
        <v>725</v>
      </c>
      <c r="M6" s="324"/>
      <c r="N6" s="298">
        <v>9.8</v>
      </c>
      <c r="O6" s="298"/>
      <c r="P6" s="298"/>
      <c r="Q6" s="298"/>
      <c r="R6" s="298">
        <v>12</v>
      </c>
      <c r="S6" s="298">
        <v>19.6</v>
      </c>
      <c r="T6" s="298"/>
      <c r="U6" s="298" t="s">
        <v>731</v>
      </c>
      <c r="V6" s="298"/>
      <c r="W6" s="298" t="s">
        <v>726</v>
      </c>
      <c r="X6" s="298"/>
      <c r="Y6" s="298"/>
      <c r="Z6" s="298">
        <v>4.56</v>
      </c>
      <c r="AA6" s="298">
        <v>4.75</v>
      </c>
      <c r="AB6" s="298"/>
      <c r="AC6" s="298">
        <v>1</v>
      </c>
      <c r="AD6" s="298">
        <v>2960</v>
      </c>
      <c r="AE6" s="298"/>
      <c r="AF6" s="298"/>
      <c r="AG6" s="298">
        <v>2960</v>
      </c>
      <c r="AH6" s="298"/>
      <c r="AI6" s="298"/>
      <c r="AJ6" s="298"/>
      <c r="AK6" s="298"/>
      <c r="AL6" s="298"/>
      <c r="AM6" s="298">
        <v>1013254</v>
      </c>
      <c r="AN6" s="298">
        <v>251750</v>
      </c>
      <c r="AO6" s="298">
        <v>1013933</v>
      </c>
      <c r="AP6" s="298">
        <v>251732</v>
      </c>
      <c r="AQ6" s="298"/>
      <c r="AR6" s="298">
        <f>N6*8</f>
        <v>78.4</v>
      </c>
      <c r="AS6" s="298">
        <v>16</v>
      </c>
      <c r="AT6" s="298"/>
      <c r="AU6" s="298"/>
      <c r="AV6" s="298">
        <v>410.4</v>
      </c>
    </row>
    <row r="7" spans="1:48" s="325" customFormat="1" ht="36">
      <c r="A7" s="323" t="s">
        <v>715</v>
      </c>
      <c r="B7" s="298" t="s">
        <v>716</v>
      </c>
      <c r="C7" s="298" t="s">
        <v>717</v>
      </c>
      <c r="D7" s="298" t="s">
        <v>650</v>
      </c>
      <c r="E7" s="298" t="s">
        <v>718</v>
      </c>
      <c r="F7" s="298" t="s">
        <v>727</v>
      </c>
      <c r="G7" s="323" t="s">
        <v>45</v>
      </c>
      <c r="H7" s="298" t="s">
        <v>721</v>
      </c>
      <c r="I7" s="298" t="s">
        <v>652</v>
      </c>
      <c r="J7" s="298" t="s">
        <v>723</v>
      </c>
      <c r="K7" s="274" t="s">
        <v>724</v>
      </c>
      <c r="L7" s="298" t="s">
        <v>725</v>
      </c>
      <c r="M7" s="298" t="s">
        <v>728</v>
      </c>
      <c r="N7" s="298">
        <v>10</v>
      </c>
      <c r="O7" s="298"/>
      <c r="P7" s="298"/>
      <c r="Q7" s="298"/>
      <c r="R7" s="298">
        <v>10</v>
      </c>
      <c r="S7" s="298">
        <v>20</v>
      </c>
      <c r="T7" s="298"/>
      <c r="U7" s="298" t="s">
        <v>731</v>
      </c>
      <c r="V7" s="298"/>
      <c r="W7" s="298" t="s">
        <v>726</v>
      </c>
      <c r="X7" s="298"/>
      <c r="Y7" s="298" t="s">
        <v>729</v>
      </c>
      <c r="Z7" s="298">
        <v>6.9</v>
      </c>
      <c r="AA7" s="298">
        <v>7.2</v>
      </c>
      <c r="AB7" s="298"/>
      <c r="AC7" s="298">
        <v>1</v>
      </c>
      <c r="AD7" s="298">
        <v>2980</v>
      </c>
      <c r="AE7" s="298"/>
      <c r="AF7" s="298"/>
      <c r="AG7" s="298">
        <v>2980</v>
      </c>
      <c r="AH7" s="298"/>
      <c r="AI7" s="298"/>
      <c r="AJ7" s="298"/>
      <c r="AK7" s="298"/>
      <c r="AL7" s="298"/>
      <c r="AM7" s="298">
        <v>1012926</v>
      </c>
      <c r="AN7" s="298">
        <v>252114</v>
      </c>
      <c r="AO7" s="298">
        <v>1013101</v>
      </c>
      <c r="AP7" s="298">
        <v>251943</v>
      </c>
      <c r="AQ7" s="298"/>
      <c r="AR7" s="298">
        <v>80.3</v>
      </c>
      <c r="AS7" s="298">
        <v>16.5</v>
      </c>
      <c r="AT7" s="298"/>
      <c r="AU7" s="298"/>
      <c r="AV7" s="298">
        <v>425.3</v>
      </c>
    </row>
    <row r="8" spans="1:49" s="325" customFormat="1" ht="36">
      <c r="A8" s="323" t="s">
        <v>730</v>
      </c>
      <c r="B8" s="298" t="s">
        <v>716</v>
      </c>
      <c r="C8" s="298" t="s">
        <v>717</v>
      </c>
      <c r="D8" s="298" t="s">
        <v>650</v>
      </c>
      <c r="E8" s="298" t="s">
        <v>718</v>
      </c>
      <c r="F8" s="298" t="s">
        <v>719</v>
      </c>
      <c r="G8" s="323" t="s">
        <v>46</v>
      </c>
      <c r="H8" s="298" t="s">
        <v>721</v>
      </c>
      <c r="I8" s="298" t="s">
        <v>722</v>
      </c>
      <c r="J8" s="298" t="s">
        <v>723</v>
      </c>
      <c r="K8" s="274" t="s">
        <v>724</v>
      </c>
      <c r="L8" s="298" t="s">
        <v>725</v>
      </c>
      <c r="M8" s="298" t="s">
        <v>728</v>
      </c>
      <c r="N8" s="298">
        <v>9</v>
      </c>
      <c r="O8" s="298"/>
      <c r="P8" s="298"/>
      <c r="Q8" s="298"/>
      <c r="R8" s="298">
        <v>15</v>
      </c>
      <c r="S8" s="298">
        <v>18</v>
      </c>
      <c r="T8" s="298"/>
      <c r="U8" s="298" t="s">
        <v>731</v>
      </c>
      <c r="V8" s="298"/>
      <c r="W8" s="298" t="s">
        <v>726</v>
      </c>
      <c r="X8" s="298"/>
      <c r="Y8" s="298"/>
      <c r="Z8" s="298">
        <v>1.78</v>
      </c>
      <c r="AA8" s="298">
        <v>1.26</v>
      </c>
      <c r="AB8" s="298"/>
      <c r="AC8" s="298">
        <v>1</v>
      </c>
      <c r="AD8" s="298">
        <v>2970</v>
      </c>
      <c r="AE8" s="298"/>
      <c r="AF8" s="298"/>
      <c r="AG8" s="298">
        <v>2970</v>
      </c>
      <c r="AH8" s="298"/>
      <c r="AI8" s="298"/>
      <c r="AJ8" s="298"/>
      <c r="AK8" s="298"/>
      <c r="AL8" s="298"/>
      <c r="AM8" s="298">
        <v>1013629</v>
      </c>
      <c r="AN8" s="298">
        <v>252110</v>
      </c>
      <c r="AO8" s="298">
        <v>1013939</v>
      </c>
      <c r="AP8" s="298">
        <v>252030</v>
      </c>
      <c r="AQ8" s="298"/>
      <c r="AR8" s="298">
        <v>71.5</v>
      </c>
      <c r="AS8" s="298">
        <v>14.8</v>
      </c>
      <c r="AT8" s="298"/>
      <c r="AU8" s="298"/>
      <c r="AV8" s="298">
        <v>412.2</v>
      </c>
      <c r="AW8" s="325">
        <v>2017</v>
      </c>
    </row>
    <row r="9" spans="1:49" s="325" customFormat="1" ht="60">
      <c r="A9" s="323" t="s">
        <v>732</v>
      </c>
      <c r="B9" s="298" t="s">
        <v>716</v>
      </c>
      <c r="C9" s="298" t="s">
        <v>717</v>
      </c>
      <c r="D9" s="298" t="s">
        <v>650</v>
      </c>
      <c r="E9" s="298" t="s">
        <v>718</v>
      </c>
      <c r="F9" s="298" t="s">
        <v>719</v>
      </c>
      <c r="G9" s="323" t="s">
        <v>47</v>
      </c>
      <c r="H9" s="298" t="s">
        <v>721</v>
      </c>
      <c r="I9" s="298" t="s">
        <v>722</v>
      </c>
      <c r="J9" s="298" t="s">
        <v>723</v>
      </c>
      <c r="K9" s="274" t="s">
        <v>724</v>
      </c>
      <c r="L9" s="298" t="s">
        <v>725</v>
      </c>
      <c r="M9" s="298" t="s">
        <v>728</v>
      </c>
      <c r="N9" s="298">
        <v>10.54</v>
      </c>
      <c r="O9" s="298"/>
      <c r="P9" s="298"/>
      <c r="Q9" s="298"/>
      <c r="R9" s="298">
        <v>18</v>
      </c>
      <c r="S9" s="298">
        <v>21.08</v>
      </c>
      <c r="T9" s="298"/>
      <c r="U9" s="298" t="s">
        <v>731</v>
      </c>
      <c r="V9" s="298"/>
      <c r="W9" s="298" t="s">
        <v>726</v>
      </c>
      <c r="X9" s="298"/>
      <c r="Y9" s="298"/>
      <c r="Z9" s="298">
        <v>2.12</v>
      </c>
      <c r="AA9" s="298">
        <v>2.08</v>
      </c>
      <c r="AB9" s="298"/>
      <c r="AC9" s="298">
        <v>1</v>
      </c>
      <c r="AD9" s="298">
        <v>2951</v>
      </c>
      <c r="AE9" s="298"/>
      <c r="AF9" s="298"/>
      <c r="AG9" s="298">
        <v>2951</v>
      </c>
      <c r="AH9" s="298"/>
      <c r="AI9" s="298"/>
      <c r="AJ9" s="298"/>
      <c r="AK9" s="298"/>
      <c r="AL9" s="298"/>
      <c r="AM9" s="298">
        <v>1014025</v>
      </c>
      <c r="AN9" s="298">
        <v>252813</v>
      </c>
      <c r="AO9" s="298">
        <v>1013839</v>
      </c>
      <c r="AP9" s="298">
        <v>253124</v>
      </c>
      <c r="AQ9" s="298"/>
      <c r="AR9" s="298">
        <v>83.6</v>
      </c>
      <c r="AS9" s="298">
        <v>16.4</v>
      </c>
      <c r="AT9" s="298"/>
      <c r="AU9" s="298"/>
      <c r="AV9" s="298">
        <v>430.8</v>
      </c>
      <c r="AW9" s="325">
        <v>2017</v>
      </c>
    </row>
    <row r="10" spans="1:49" s="325" customFormat="1" ht="60">
      <c r="A10" s="298" t="s">
        <v>733</v>
      </c>
      <c r="B10" s="298" t="s">
        <v>716</v>
      </c>
      <c r="C10" s="298" t="s">
        <v>717</v>
      </c>
      <c r="D10" s="298" t="s">
        <v>650</v>
      </c>
      <c r="E10" s="298" t="s">
        <v>718</v>
      </c>
      <c r="F10" s="298" t="s">
        <v>719</v>
      </c>
      <c r="G10" s="274" t="s">
        <v>734</v>
      </c>
      <c r="H10" s="298" t="s">
        <v>721</v>
      </c>
      <c r="I10" s="298" t="s">
        <v>722</v>
      </c>
      <c r="J10" s="298" t="s">
        <v>723</v>
      </c>
      <c r="K10" s="274" t="s">
        <v>724</v>
      </c>
      <c r="L10" s="298" t="s">
        <v>725</v>
      </c>
      <c r="M10" s="298" t="s">
        <v>728</v>
      </c>
      <c r="N10" s="298">
        <v>7.5</v>
      </c>
      <c r="O10" s="298"/>
      <c r="P10" s="298"/>
      <c r="Q10" s="298"/>
      <c r="R10" s="298">
        <v>8</v>
      </c>
      <c r="S10" s="298">
        <v>15</v>
      </c>
      <c r="T10" s="298"/>
      <c r="U10" s="298" t="s">
        <v>731</v>
      </c>
      <c r="V10" s="298"/>
      <c r="W10" s="298" t="s">
        <v>726</v>
      </c>
      <c r="X10" s="298"/>
      <c r="Y10" s="298"/>
      <c r="Z10" s="298">
        <v>1.3</v>
      </c>
      <c r="AA10" s="298">
        <v>0.98</v>
      </c>
      <c r="AB10" s="298"/>
      <c r="AC10" s="298">
        <v>1</v>
      </c>
      <c r="AD10" s="298">
        <v>2625</v>
      </c>
      <c r="AE10" s="298"/>
      <c r="AF10" s="298"/>
      <c r="AG10" s="298">
        <v>2625</v>
      </c>
      <c r="AH10" s="298"/>
      <c r="AI10" s="298"/>
      <c r="AJ10" s="298"/>
      <c r="AK10" s="298"/>
      <c r="AL10" s="298"/>
      <c r="AM10" s="298">
        <v>1013315</v>
      </c>
      <c r="AN10" s="298">
        <v>253322</v>
      </c>
      <c r="AO10" s="298">
        <v>1013502</v>
      </c>
      <c r="AP10" s="298">
        <v>253320</v>
      </c>
      <c r="AQ10" s="298"/>
      <c r="AR10" s="298">
        <v>59.2</v>
      </c>
      <c r="AS10" s="298">
        <v>12</v>
      </c>
      <c r="AT10" s="298"/>
      <c r="AU10" s="298"/>
      <c r="AV10" s="298">
        <v>356.3</v>
      </c>
      <c r="AW10" s="325">
        <v>2018</v>
      </c>
    </row>
    <row r="11" spans="1:49" s="325" customFormat="1" ht="60">
      <c r="A11" s="298" t="s">
        <v>735</v>
      </c>
      <c r="B11" s="298" t="s">
        <v>716</v>
      </c>
      <c r="C11" s="298" t="s">
        <v>717</v>
      </c>
      <c r="D11" s="298" t="s">
        <v>650</v>
      </c>
      <c r="E11" s="298" t="s">
        <v>718</v>
      </c>
      <c r="F11" s="298" t="s">
        <v>719</v>
      </c>
      <c r="G11" s="274" t="s">
        <v>48</v>
      </c>
      <c r="H11" s="298" t="s">
        <v>721</v>
      </c>
      <c r="I11" s="298" t="s">
        <v>722</v>
      </c>
      <c r="J11" s="298" t="s">
        <v>723</v>
      </c>
      <c r="K11" s="274" t="s">
        <v>724</v>
      </c>
      <c r="L11" s="298" t="s">
        <v>725</v>
      </c>
      <c r="M11" s="298" t="s">
        <v>728</v>
      </c>
      <c r="N11" s="298">
        <v>11</v>
      </c>
      <c r="O11" s="298"/>
      <c r="P11" s="298"/>
      <c r="Q11" s="298"/>
      <c r="R11" s="298">
        <v>12</v>
      </c>
      <c r="S11" s="298">
        <v>22</v>
      </c>
      <c r="T11" s="298"/>
      <c r="U11" s="298" t="s">
        <v>731</v>
      </c>
      <c r="V11" s="298"/>
      <c r="W11" s="298" t="s">
        <v>726</v>
      </c>
      <c r="X11" s="298"/>
      <c r="Y11" s="298"/>
      <c r="Z11" s="298">
        <v>0.9</v>
      </c>
      <c r="AA11" s="298">
        <v>0.84</v>
      </c>
      <c r="AB11" s="298"/>
      <c r="AC11" s="298">
        <v>1</v>
      </c>
      <c r="AD11" s="298">
        <v>2970</v>
      </c>
      <c r="AE11" s="298"/>
      <c r="AF11" s="298"/>
      <c r="AG11" s="298">
        <v>2970</v>
      </c>
      <c r="AH11" s="298"/>
      <c r="AI11" s="298"/>
      <c r="AJ11" s="298"/>
      <c r="AK11" s="298"/>
      <c r="AL11" s="298"/>
      <c r="AM11" s="298">
        <v>1013549</v>
      </c>
      <c r="AN11" s="298">
        <v>251026</v>
      </c>
      <c r="AO11" s="298">
        <v>1013901</v>
      </c>
      <c r="AP11" s="298">
        <v>251016</v>
      </c>
      <c r="AQ11" s="298"/>
      <c r="AR11" s="298">
        <v>85.4</v>
      </c>
      <c r="AS11" s="298">
        <v>11.2</v>
      </c>
      <c r="AT11" s="298"/>
      <c r="AU11" s="298"/>
      <c r="AV11" s="298">
        <v>445.2</v>
      </c>
      <c r="AW11" s="325">
        <v>2018</v>
      </c>
    </row>
    <row r="12" spans="1:49" s="325" customFormat="1" ht="72">
      <c r="A12" s="298" t="s">
        <v>736</v>
      </c>
      <c r="B12" s="298" t="s">
        <v>716</v>
      </c>
      <c r="C12" s="298" t="s">
        <v>717</v>
      </c>
      <c r="D12" s="298" t="s">
        <v>650</v>
      </c>
      <c r="E12" s="298" t="s">
        <v>718</v>
      </c>
      <c r="F12" s="298" t="s">
        <v>719</v>
      </c>
      <c r="G12" s="274" t="s">
        <v>49</v>
      </c>
      <c r="H12" s="298" t="s">
        <v>721</v>
      </c>
      <c r="I12" s="298" t="s">
        <v>722</v>
      </c>
      <c r="J12" s="298" t="s">
        <v>723</v>
      </c>
      <c r="K12" s="274" t="s">
        <v>724</v>
      </c>
      <c r="L12" s="298" t="s">
        <v>725</v>
      </c>
      <c r="M12" s="298" t="s">
        <v>728</v>
      </c>
      <c r="N12" s="298">
        <v>11.5</v>
      </c>
      <c r="O12" s="298"/>
      <c r="P12" s="298"/>
      <c r="Q12" s="298"/>
      <c r="R12" s="298">
        <v>16</v>
      </c>
      <c r="S12" s="298">
        <v>23</v>
      </c>
      <c r="T12" s="298"/>
      <c r="U12" s="298" t="s">
        <v>731</v>
      </c>
      <c r="V12" s="298"/>
      <c r="W12" s="298" t="s">
        <v>726</v>
      </c>
      <c r="X12" s="298"/>
      <c r="Y12" s="298"/>
      <c r="Z12" s="298">
        <v>0.85</v>
      </c>
      <c r="AA12" s="298">
        <v>1.23</v>
      </c>
      <c r="AB12" s="298"/>
      <c r="AC12" s="298">
        <v>1</v>
      </c>
      <c r="AD12" s="298">
        <v>2990</v>
      </c>
      <c r="AE12" s="298"/>
      <c r="AF12" s="298"/>
      <c r="AG12" s="298">
        <v>2990</v>
      </c>
      <c r="AH12" s="298"/>
      <c r="AI12" s="298"/>
      <c r="AJ12" s="298"/>
      <c r="AK12" s="298"/>
      <c r="AL12" s="298"/>
      <c r="AM12" s="298">
        <v>1012720</v>
      </c>
      <c r="AN12" s="298">
        <v>251911</v>
      </c>
      <c r="AO12" s="298">
        <v>1012858</v>
      </c>
      <c r="AP12" s="298">
        <v>251920</v>
      </c>
      <c r="AQ12" s="298"/>
      <c r="AR12" s="298">
        <v>80.3</v>
      </c>
      <c r="AS12" s="298">
        <v>14.8</v>
      </c>
      <c r="AT12" s="298"/>
      <c r="AU12" s="298"/>
      <c r="AV12" s="298">
        <v>412.4</v>
      </c>
      <c r="AW12" s="325">
        <v>2018</v>
      </c>
    </row>
    <row r="13" spans="1:49" s="325" customFormat="1" ht="60">
      <c r="A13" s="298" t="s">
        <v>737</v>
      </c>
      <c r="B13" s="298" t="s">
        <v>716</v>
      </c>
      <c r="C13" s="298" t="s">
        <v>717</v>
      </c>
      <c r="D13" s="298" t="s">
        <v>650</v>
      </c>
      <c r="E13" s="298" t="s">
        <v>718</v>
      </c>
      <c r="F13" s="298" t="s">
        <v>719</v>
      </c>
      <c r="G13" s="274" t="s">
        <v>50</v>
      </c>
      <c r="H13" s="298" t="s">
        <v>721</v>
      </c>
      <c r="I13" s="298" t="s">
        <v>722</v>
      </c>
      <c r="J13" s="298" t="s">
        <v>723</v>
      </c>
      <c r="K13" s="274" t="s">
        <v>724</v>
      </c>
      <c r="L13" s="298" t="s">
        <v>725</v>
      </c>
      <c r="M13" s="324" t="s">
        <v>728</v>
      </c>
      <c r="N13" s="298">
        <v>12.3</v>
      </c>
      <c r="O13" s="298"/>
      <c r="P13" s="298"/>
      <c r="Q13" s="298"/>
      <c r="R13" s="298">
        <v>9</v>
      </c>
      <c r="S13" s="298">
        <v>24.6</v>
      </c>
      <c r="T13" s="298"/>
      <c r="U13" s="298" t="s">
        <v>731</v>
      </c>
      <c r="V13" s="298"/>
      <c r="W13" s="298" t="s">
        <v>726</v>
      </c>
      <c r="X13" s="298"/>
      <c r="Y13" s="298"/>
      <c r="Z13" s="298">
        <v>0.67</v>
      </c>
      <c r="AA13" s="298">
        <v>0.85</v>
      </c>
      <c r="AB13" s="298"/>
      <c r="AC13" s="298">
        <v>1</v>
      </c>
      <c r="AD13" s="298">
        <v>2952</v>
      </c>
      <c r="AE13" s="298"/>
      <c r="AF13" s="298"/>
      <c r="AG13" s="298">
        <v>2952</v>
      </c>
      <c r="AH13" s="298"/>
      <c r="AI13" s="298"/>
      <c r="AJ13" s="298"/>
      <c r="AK13" s="298"/>
      <c r="AL13" s="298"/>
      <c r="AM13" s="298">
        <v>1013420</v>
      </c>
      <c r="AN13" s="298">
        <v>251326</v>
      </c>
      <c r="AO13" s="298">
        <v>1013408</v>
      </c>
      <c r="AP13" s="298">
        <v>251542</v>
      </c>
      <c r="AQ13" s="298"/>
      <c r="AR13" s="298">
        <v>71.8</v>
      </c>
      <c r="AS13" s="298">
        <v>11.2</v>
      </c>
      <c r="AT13" s="298"/>
      <c r="AU13" s="298"/>
      <c r="AV13" s="298">
        <v>408.6</v>
      </c>
      <c r="AW13" s="325">
        <v>2019</v>
      </c>
    </row>
    <row r="14" spans="1:49" s="325" customFormat="1" ht="60">
      <c r="A14" s="298" t="s">
        <v>738</v>
      </c>
      <c r="B14" s="298" t="s">
        <v>716</v>
      </c>
      <c r="C14" s="298" t="s">
        <v>717</v>
      </c>
      <c r="D14" s="298" t="s">
        <v>650</v>
      </c>
      <c r="E14" s="298" t="s">
        <v>718</v>
      </c>
      <c r="F14" s="298" t="s">
        <v>719</v>
      </c>
      <c r="G14" s="274" t="s">
        <v>51</v>
      </c>
      <c r="H14" s="298" t="s">
        <v>721</v>
      </c>
      <c r="I14" s="298" t="s">
        <v>722</v>
      </c>
      <c r="J14" s="298" t="s">
        <v>723</v>
      </c>
      <c r="K14" s="274" t="s">
        <v>724</v>
      </c>
      <c r="L14" s="298" t="s">
        <v>725</v>
      </c>
      <c r="M14" s="298" t="s">
        <v>728</v>
      </c>
      <c r="N14" s="298">
        <v>12</v>
      </c>
      <c r="O14" s="298"/>
      <c r="P14" s="298"/>
      <c r="Q14" s="298"/>
      <c r="R14" s="298">
        <v>15</v>
      </c>
      <c r="S14" s="298">
        <v>24</v>
      </c>
      <c r="T14" s="298"/>
      <c r="U14" s="298" t="s">
        <v>731</v>
      </c>
      <c r="V14" s="298"/>
      <c r="W14" s="298" t="s">
        <v>726</v>
      </c>
      <c r="X14" s="298"/>
      <c r="Y14" s="298"/>
      <c r="Z14" s="298">
        <v>0.78</v>
      </c>
      <c r="AA14" s="298">
        <v>0.95</v>
      </c>
      <c r="AB14" s="298"/>
      <c r="AC14" s="298">
        <v>1</v>
      </c>
      <c r="AD14" s="298">
        <v>2880</v>
      </c>
      <c r="AE14" s="298"/>
      <c r="AF14" s="298"/>
      <c r="AG14" s="298">
        <v>2880</v>
      </c>
      <c r="AH14" s="298"/>
      <c r="AI14" s="298"/>
      <c r="AJ14" s="298"/>
      <c r="AK14" s="298"/>
      <c r="AL14" s="298"/>
      <c r="AM14" s="298">
        <v>1013016</v>
      </c>
      <c r="AN14" s="298">
        <v>251502</v>
      </c>
      <c r="AO14" s="298">
        <v>1013434</v>
      </c>
      <c r="AP14" s="298">
        <v>251506</v>
      </c>
      <c r="AQ14" s="298"/>
      <c r="AR14" s="298">
        <v>79.6</v>
      </c>
      <c r="AS14" s="298">
        <v>12</v>
      </c>
      <c r="AT14" s="298"/>
      <c r="AU14" s="298"/>
      <c r="AV14" s="298">
        <v>415.3</v>
      </c>
      <c r="AW14" s="325">
        <v>2019</v>
      </c>
    </row>
    <row r="15" spans="1:49" ht="60">
      <c r="A15" s="298" t="s">
        <v>52</v>
      </c>
      <c r="B15" s="298" t="s">
        <v>716</v>
      </c>
      <c r="C15" s="298" t="s">
        <v>717</v>
      </c>
      <c r="D15" s="298" t="s">
        <v>650</v>
      </c>
      <c r="E15" s="298" t="s">
        <v>718</v>
      </c>
      <c r="F15" s="298" t="s">
        <v>719</v>
      </c>
      <c r="G15" s="274" t="s">
        <v>53</v>
      </c>
      <c r="H15" s="298" t="s">
        <v>721</v>
      </c>
      <c r="I15" s="298" t="s">
        <v>722</v>
      </c>
      <c r="J15" s="298" t="s">
        <v>723</v>
      </c>
      <c r="K15" s="274" t="s">
        <v>724</v>
      </c>
      <c r="L15" s="298" t="s">
        <v>725</v>
      </c>
      <c r="M15" s="298" t="s">
        <v>728</v>
      </c>
      <c r="N15" s="298">
        <v>7</v>
      </c>
      <c r="O15" s="298"/>
      <c r="P15" s="298"/>
      <c r="Q15" s="298"/>
      <c r="R15" s="298">
        <v>16</v>
      </c>
      <c r="S15" s="298">
        <v>15</v>
      </c>
      <c r="T15" s="298"/>
      <c r="U15" s="298" t="s">
        <v>731</v>
      </c>
      <c r="V15" s="298"/>
      <c r="W15" s="298" t="s">
        <v>726</v>
      </c>
      <c r="X15" s="298"/>
      <c r="Y15" s="298"/>
      <c r="Z15" s="298">
        <v>0.5</v>
      </c>
      <c r="AA15" s="298">
        <v>0.78</v>
      </c>
      <c r="AB15" s="298"/>
      <c r="AC15" s="298">
        <v>1</v>
      </c>
      <c r="AD15" s="298">
        <v>1860</v>
      </c>
      <c r="AE15" s="298"/>
      <c r="AF15" s="298"/>
      <c r="AG15" s="298">
        <v>1860</v>
      </c>
      <c r="AH15" s="298"/>
      <c r="AI15" s="298"/>
      <c r="AJ15" s="298"/>
      <c r="AK15" s="298"/>
      <c r="AL15" s="298"/>
      <c r="AM15" s="298">
        <v>1013053</v>
      </c>
      <c r="AN15" s="298">
        <v>252157</v>
      </c>
      <c r="AO15" s="298">
        <v>1013018</v>
      </c>
      <c r="AP15" s="298">
        <v>252003</v>
      </c>
      <c r="AQ15" s="298"/>
      <c r="AR15" s="298">
        <v>88</v>
      </c>
      <c r="AS15" s="298">
        <v>16</v>
      </c>
      <c r="AT15" s="298"/>
      <c r="AU15" s="298"/>
      <c r="AV15" s="298">
        <v>360.4</v>
      </c>
      <c r="AW15" s="325">
        <v>2019</v>
      </c>
    </row>
    <row r="16" spans="1:49" ht="60">
      <c r="A16" s="298" t="s">
        <v>54</v>
      </c>
      <c r="B16" s="298" t="s">
        <v>716</v>
      </c>
      <c r="C16" s="298" t="s">
        <v>717</v>
      </c>
      <c r="D16" s="298" t="s">
        <v>650</v>
      </c>
      <c r="E16" s="298" t="s">
        <v>718</v>
      </c>
      <c r="F16" s="298" t="s">
        <v>719</v>
      </c>
      <c r="G16" s="274" t="s">
        <v>55</v>
      </c>
      <c r="H16" s="298" t="s">
        <v>721</v>
      </c>
      <c r="I16" s="298" t="s">
        <v>722</v>
      </c>
      <c r="J16" s="298" t="s">
        <v>723</v>
      </c>
      <c r="K16" s="274" t="s">
        <v>724</v>
      </c>
      <c r="L16" s="298" t="s">
        <v>725</v>
      </c>
      <c r="M16" s="298" t="s">
        <v>728</v>
      </c>
      <c r="N16" s="298">
        <v>5</v>
      </c>
      <c r="O16" s="298"/>
      <c r="P16" s="298"/>
      <c r="Q16" s="298"/>
      <c r="R16" s="298">
        <v>10</v>
      </c>
      <c r="S16" s="298">
        <v>10</v>
      </c>
      <c r="T16" s="298"/>
      <c r="U16" s="298" t="s">
        <v>731</v>
      </c>
      <c r="V16" s="298"/>
      <c r="W16" s="298" t="s">
        <v>726</v>
      </c>
      <c r="X16" s="298"/>
      <c r="Y16" s="298"/>
      <c r="Z16" s="298">
        <v>0.2</v>
      </c>
      <c r="AA16" s="298">
        <v>0.15</v>
      </c>
      <c r="AB16" s="298"/>
      <c r="AC16" s="298">
        <v>1</v>
      </c>
      <c r="AD16" s="298">
        <v>1600</v>
      </c>
      <c r="AE16" s="298"/>
      <c r="AF16" s="298"/>
      <c r="AG16" s="298">
        <v>1600</v>
      </c>
      <c r="AH16" s="298"/>
      <c r="AI16" s="298"/>
      <c r="AJ16" s="298"/>
      <c r="AK16" s="298"/>
      <c r="AL16" s="298"/>
      <c r="AM16" s="298">
        <v>1012721</v>
      </c>
      <c r="AN16" s="298">
        <v>252634</v>
      </c>
      <c r="AO16" s="298">
        <v>1012935</v>
      </c>
      <c r="AP16" s="298">
        <v>252704</v>
      </c>
      <c r="AQ16" s="298"/>
      <c r="AR16" s="298">
        <v>100</v>
      </c>
      <c r="AS16" s="298">
        <v>10</v>
      </c>
      <c r="AT16" s="298"/>
      <c r="AU16" s="298"/>
      <c r="AV16" s="298">
        <v>180</v>
      </c>
      <c r="AW16" s="260">
        <v>2017</v>
      </c>
    </row>
    <row r="17" spans="1:49" ht="60">
      <c r="A17" s="298" t="s">
        <v>1613</v>
      </c>
      <c r="B17" s="298" t="s">
        <v>716</v>
      </c>
      <c r="C17" s="298" t="s">
        <v>717</v>
      </c>
      <c r="D17" s="279" t="s">
        <v>650</v>
      </c>
      <c r="E17" s="298" t="s">
        <v>718</v>
      </c>
      <c r="F17" s="298" t="s">
        <v>719</v>
      </c>
      <c r="G17" s="274" t="s">
        <v>1614</v>
      </c>
      <c r="H17" s="274" t="s">
        <v>721</v>
      </c>
      <c r="I17" s="274" t="s">
        <v>722</v>
      </c>
      <c r="J17" s="274" t="s">
        <v>723</v>
      </c>
      <c r="K17" s="274" t="s">
        <v>724</v>
      </c>
      <c r="L17" s="298" t="s">
        <v>725</v>
      </c>
      <c r="M17" s="298" t="s">
        <v>728</v>
      </c>
      <c r="N17" s="298">
        <v>5</v>
      </c>
      <c r="O17" s="298"/>
      <c r="P17" s="298"/>
      <c r="Q17" s="298"/>
      <c r="R17" s="298">
        <v>6</v>
      </c>
      <c r="S17" s="298">
        <v>13</v>
      </c>
      <c r="T17" s="298"/>
      <c r="U17" s="298" t="s">
        <v>731</v>
      </c>
      <c r="V17" s="298"/>
      <c r="W17" s="298" t="s">
        <v>726</v>
      </c>
      <c r="X17" s="298"/>
      <c r="Y17" s="298"/>
      <c r="Z17" s="298">
        <v>0.1969</v>
      </c>
      <c r="AA17" s="298">
        <v>0.0985</v>
      </c>
      <c r="AB17" s="298"/>
      <c r="AC17" s="298">
        <v>1</v>
      </c>
      <c r="AD17" s="298">
        <v>1400</v>
      </c>
      <c r="AE17" s="298"/>
      <c r="AF17" s="298"/>
      <c r="AG17" s="298">
        <v>1400</v>
      </c>
      <c r="AH17" s="298"/>
      <c r="AI17" s="298"/>
      <c r="AJ17" s="298"/>
      <c r="AK17" s="298"/>
      <c r="AL17" s="298"/>
      <c r="AM17" s="298"/>
      <c r="AN17" s="298"/>
      <c r="AO17" s="298"/>
      <c r="AP17" s="298"/>
      <c r="AQ17" s="298"/>
      <c r="AR17" s="298">
        <v>85</v>
      </c>
      <c r="AS17" s="298"/>
      <c r="AT17" s="298"/>
      <c r="AU17" s="298"/>
      <c r="AV17" s="298">
        <f>SUM(AR17*2.3)</f>
        <v>195.49999999999997</v>
      </c>
      <c r="AW17" s="260">
        <v>2020</v>
      </c>
    </row>
    <row r="18" spans="1:49" ht="60">
      <c r="A18" s="298" t="s">
        <v>1615</v>
      </c>
      <c r="B18" s="298" t="s">
        <v>716</v>
      </c>
      <c r="C18" s="298" t="s">
        <v>717</v>
      </c>
      <c r="D18" s="279" t="s">
        <v>650</v>
      </c>
      <c r="E18" s="298" t="s">
        <v>718</v>
      </c>
      <c r="F18" s="298" t="s">
        <v>719</v>
      </c>
      <c r="G18" s="274" t="s">
        <v>1616</v>
      </c>
      <c r="H18" s="274" t="s">
        <v>721</v>
      </c>
      <c r="I18" s="274" t="s">
        <v>722</v>
      </c>
      <c r="J18" s="274" t="s">
        <v>723</v>
      </c>
      <c r="K18" s="274" t="s">
        <v>724</v>
      </c>
      <c r="L18" s="298" t="s">
        <v>725</v>
      </c>
      <c r="M18" s="298" t="s">
        <v>728</v>
      </c>
      <c r="N18" s="298">
        <v>5</v>
      </c>
      <c r="O18" s="298"/>
      <c r="P18" s="298"/>
      <c r="Q18" s="298"/>
      <c r="R18" s="298">
        <v>6</v>
      </c>
      <c r="S18" s="298">
        <v>13</v>
      </c>
      <c r="T18" s="298"/>
      <c r="U18" s="298" t="s">
        <v>731</v>
      </c>
      <c r="V18" s="298"/>
      <c r="W18" s="298" t="s">
        <v>726</v>
      </c>
      <c r="X18" s="298"/>
      <c r="Y18" s="298"/>
      <c r="Z18" s="298">
        <v>0.108</v>
      </c>
      <c r="AA18" s="298">
        <v>0.0609</v>
      </c>
      <c r="AB18" s="298"/>
      <c r="AC18" s="298">
        <v>1</v>
      </c>
      <c r="AD18" s="298">
        <v>1350</v>
      </c>
      <c r="AE18" s="298"/>
      <c r="AF18" s="298"/>
      <c r="AG18" s="298">
        <v>1350</v>
      </c>
      <c r="AH18" s="298"/>
      <c r="AI18" s="298"/>
      <c r="AJ18" s="298"/>
      <c r="AK18" s="298"/>
      <c r="AL18" s="298"/>
      <c r="AM18" s="298"/>
      <c r="AN18" s="298"/>
      <c r="AO18" s="298"/>
      <c r="AP18" s="298"/>
      <c r="AQ18" s="298"/>
      <c r="AR18" s="298">
        <v>88</v>
      </c>
      <c r="AS18" s="298"/>
      <c r="AT18" s="298"/>
      <c r="AU18" s="298"/>
      <c r="AV18" s="298">
        <f>SUM(AR18*2.3)</f>
        <v>202.39999999999998</v>
      </c>
      <c r="AW18" s="260">
        <v>2020</v>
      </c>
    </row>
  </sheetData>
  <sheetProtection/>
  <mergeCells count="14">
    <mergeCell ref="A1:AV1"/>
    <mergeCell ref="Y2:AB2"/>
    <mergeCell ref="AC2:AF2"/>
    <mergeCell ref="AG2:AI2"/>
    <mergeCell ref="AK2:AP2"/>
    <mergeCell ref="AQ2:AV2"/>
    <mergeCell ref="AK3:AL3"/>
    <mergeCell ref="AM3:AN3"/>
    <mergeCell ref="AO3:AP3"/>
    <mergeCell ref="A2:I2"/>
    <mergeCell ref="J2:M2"/>
    <mergeCell ref="N2:T2"/>
    <mergeCell ref="U2:V2"/>
    <mergeCell ref="W2:X2"/>
  </mergeCells>
  <dataValidations count="4">
    <dataValidation type="list" allowBlank="1" showInputMessage="1" showErrorMessage="1" sqref="B6:B18">
      <formula1>"长江,珠江,澜沧江,怒江,伊洛瓦底江,红河"</formula1>
    </dataValidation>
    <dataValidation type="list" allowBlank="1" showInputMessage="1" showErrorMessage="1" sqref="C6:C18">
      <formula1>"长委,珠委"</formula1>
    </dataValidation>
    <dataValidation type="list" allowBlank="1" showInputMessage="1" showErrorMessage="1" sqref="H6:H18">
      <formula1>"城市河段,乡村河段"</formula1>
    </dataValidation>
    <dataValidation type="list" allowBlank="1" showInputMessage="1" showErrorMessage="1" sqref="I6:I18">
      <formula1>"城市防洪,乡镇防洪,农田防护"</formula1>
    </dataValidation>
  </dataValidations>
  <printOptions/>
  <pageMargins left="0.34" right="0.1968503937007874" top="0.5511811023622047" bottom="0.5905511811023623" header="0.31496062992125984" footer="0.31496062992125984"/>
  <pageSetup horizontalDpi="600" verticalDpi="600" orientation="portrait" paperSize="9" r:id="rId3"/>
  <headerFooter>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sheetPr>
    <tabColor rgb="FF00B050"/>
  </sheetPr>
  <dimension ref="A1:AK24"/>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Q10" sqref="Q10"/>
    </sheetView>
  </sheetViews>
  <sheetFormatPr defaultColWidth="9.00390625" defaultRowHeight="13.5"/>
  <cols>
    <col min="1" max="1" width="6.375" style="0" customWidth="1"/>
    <col min="4" max="4" width="6.50390625" style="0" customWidth="1"/>
    <col min="6" max="8" width="0" style="0" hidden="1" customWidth="1"/>
    <col min="9" max="9" width="10.50390625" style="33" hidden="1" customWidth="1"/>
    <col min="10" max="10" width="5.875" style="0" customWidth="1"/>
    <col min="11" max="11" width="0" style="0" hidden="1" customWidth="1"/>
    <col min="12" max="12" width="6.625" style="0" customWidth="1"/>
    <col min="13" max="13" width="0" style="0" hidden="1" customWidth="1"/>
    <col min="16" max="16" width="7.125" style="0" customWidth="1"/>
    <col min="17" max="17" width="7.75390625" style="0" customWidth="1"/>
    <col min="18" max="18" width="7.125" style="0" customWidth="1"/>
    <col min="20" max="25" width="5.75390625" style="0" customWidth="1"/>
    <col min="28" max="28" width="0" style="0" hidden="1" customWidth="1"/>
    <col min="30" max="30" width="7.75390625" style="0" customWidth="1"/>
    <col min="31" max="35" width="0" style="0" hidden="1" customWidth="1"/>
  </cols>
  <sheetData>
    <row r="1" spans="1:36" ht="18.75">
      <c r="A1" s="721" t="s">
        <v>813</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row>
    <row r="3" spans="1:36" s="30" customFormat="1" ht="12">
      <c r="A3" s="719" t="s">
        <v>807</v>
      </c>
      <c r="B3" s="719" t="s">
        <v>808</v>
      </c>
      <c r="C3" s="719" t="s">
        <v>868</v>
      </c>
      <c r="D3" s="719"/>
      <c r="E3" s="719"/>
      <c r="F3" s="719"/>
      <c r="G3" s="719"/>
      <c r="H3" s="719" t="s">
        <v>56</v>
      </c>
      <c r="I3" s="722" t="s">
        <v>57</v>
      </c>
      <c r="J3" s="719" t="s">
        <v>869</v>
      </c>
      <c r="K3" s="719" t="s">
        <v>870</v>
      </c>
      <c r="L3" s="720" t="s">
        <v>871</v>
      </c>
      <c r="M3" s="720"/>
      <c r="N3" s="724" t="s">
        <v>872</v>
      </c>
      <c r="O3" s="720" t="s">
        <v>873</v>
      </c>
      <c r="P3" s="720"/>
      <c r="Q3" s="720"/>
      <c r="R3" s="720"/>
      <c r="S3" s="720"/>
      <c r="T3" s="720" t="s">
        <v>874</v>
      </c>
      <c r="U3" s="720"/>
      <c r="V3" s="720"/>
      <c r="W3" s="720"/>
      <c r="X3" s="720"/>
      <c r="Y3" s="720"/>
      <c r="Z3" s="720"/>
      <c r="AA3" s="720"/>
      <c r="AB3" s="720"/>
      <c r="AC3" s="720"/>
      <c r="AD3" s="724" t="s">
        <v>58</v>
      </c>
      <c r="AE3" s="719" t="s">
        <v>875</v>
      </c>
      <c r="AF3" s="716" t="s">
        <v>876</v>
      </c>
      <c r="AG3" s="717"/>
      <c r="AH3" s="717"/>
      <c r="AI3" s="718"/>
      <c r="AJ3" s="719" t="s">
        <v>877</v>
      </c>
    </row>
    <row r="4" spans="1:36" s="30" customFormat="1" ht="18" customHeight="1">
      <c r="A4" s="719"/>
      <c r="B4" s="719"/>
      <c r="C4" s="719" t="s">
        <v>878</v>
      </c>
      <c r="D4" s="719" t="s">
        <v>809</v>
      </c>
      <c r="E4" s="719" t="s">
        <v>879</v>
      </c>
      <c r="F4" s="719" t="s">
        <v>880</v>
      </c>
      <c r="G4" s="719" t="s">
        <v>881</v>
      </c>
      <c r="H4" s="719"/>
      <c r="I4" s="722"/>
      <c r="J4" s="719"/>
      <c r="K4" s="719"/>
      <c r="L4" s="720" t="s">
        <v>882</v>
      </c>
      <c r="M4" s="720" t="s">
        <v>883</v>
      </c>
      <c r="N4" s="725"/>
      <c r="O4" s="723" t="s">
        <v>59</v>
      </c>
      <c r="P4" s="723" t="s">
        <v>884</v>
      </c>
      <c r="Q4" s="723" t="s">
        <v>885</v>
      </c>
      <c r="R4" s="723" t="s">
        <v>886</v>
      </c>
      <c r="S4" s="723" t="s">
        <v>60</v>
      </c>
      <c r="T4" s="720" t="s">
        <v>61</v>
      </c>
      <c r="U4" s="720"/>
      <c r="V4" s="720"/>
      <c r="W4" s="720"/>
      <c r="X4" s="720"/>
      <c r="Y4" s="720"/>
      <c r="Z4" s="720" t="s">
        <v>887</v>
      </c>
      <c r="AA4" s="720"/>
      <c r="AB4" s="720" t="s">
        <v>888</v>
      </c>
      <c r="AC4" s="720"/>
      <c r="AD4" s="725"/>
      <c r="AE4" s="719"/>
      <c r="AF4" s="716" t="s">
        <v>889</v>
      </c>
      <c r="AG4" s="718"/>
      <c r="AH4" s="716" t="s">
        <v>890</v>
      </c>
      <c r="AI4" s="718"/>
      <c r="AJ4" s="719"/>
    </row>
    <row r="5" spans="1:36" s="30" customFormat="1" ht="156">
      <c r="A5" s="719"/>
      <c r="B5" s="719"/>
      <c r="C5" s="719"/>
      <c r="D5" s="719"/>
      <c r="E5" s="719"/>
      <c r="F5" s="719"/>
      <c r="G5" s="719"/>
      <c r="H5" s="719"/>
      <c r="I5" s="722"/>
      <c r="J5" s="719"/>
      <c r="K5" s="719"/>
      <c r="L5" s="720"/>
      <c r="M5" s="720"/>
      <c r="N5" s="726"/>
      <c r="O5" s="723"/>
      <c r="P5" s="723"/>
      <c r="Q5" s="723"/>
      <c r="R5" s="723"/>
      <c r="S5" s="723"/>
      <c r="T5" s="326" t="s">
        <v>891</v>
      </c>
      <c r="U5" s="326" t="s">
        <v>892</v>
      </c>
      <c r="V5" s="326" t="s">
        <v>893</v>
      </c>
      <c r="W5" s="326" t="s">
        <v>894</v>
      </c>
      <c r="X5" s="326" t="s">
        <v>895</v>
      </c>
      <c r="Y5" s="326" t="s">
        <v>896</v>
      </c>
      <c r="Z5" s="327" t="s">
        <v>897</v>
      </c>
      <c r="AA5" s="327" t="s">
        <v>898</v>
      </c>
      <c r="AB5" s="327" t="s">
        <v>899</v>
      </c>
      <c r="AC5" s="327" t="s">
        <v>900</v>
      </c>
      <c r="AD5" s="726"/>
      <c r="AE5" s="719"/>
      <c r="AF5" s="328" t="s">
        <v>810</v>
      </c>
      <c r="AG5" s="328" t="s">
        <v>901</v>
      </c>
      <c r="AH5" s="328" t="s">
        <v>810</v>
      </c>
      <c r="AI5" s="328" t="s">
        <v>811</v>
      </c>
      <c r="AJ5" s="719"/>
    </row>
    <row r="6" spans="1:36" ht="13.5">
      <c r="A6" s="329">
        <v>-1</v>
      </c>
      <c r="B6" s="329">
        <v>-2</v>
      </c>
      <c r="C6" s="329">
        <v>-3</v>
      </c>
      <c r="D6" s="329">
        <v>-4</v>
      </c>
      <c r="E6" s="329">
        <v>-5</v>
      </c>
      <c r="F6" s="329">
        <v>-6</v>
      </c>
      <c r="G6" s="329">
        <v>-7</v>
      </c>
      <c r="H6" s="329">
        <v>-8</v>
      </c>
      <c r="I6" s="329">
        <v>-9</v>
      </c>
      <c r="J6" s="329">
        <v>-10</v>
      </c>
      <c r="K6" s="329">
        <v>-11</v>
      </c>
      <c r="L6" s="329">
        <v>-12</v>
      </c>
      <c r="M6" s="329">
        <v>-13</v>
      </c>
      <c r="N6" s="329">
        <v>-14</v>
      </c>
      <c r="O6" s="329">
        <v>-15</v>
      </c>
      <c r="P6" s="329">
        <v>-16</v>
      </c>
      <c r="Q6" s="329">
        <v>-17</v>
      </c>
      <c r="R6" s="329">
        <v>-18</v>
      </c>
      <c r="S6" s="329">
        <v>-19</v>
      </c>
      <c r="T6" s="329">
        <v>-20</v>
      </c>
      <c r="U6" s="329">
        <v>-21</v>
      </c>
      <c r="V6" s="329">
        <v>-22</v>
      </c>
      <c r="W6" s="329">
        <v>-23</v>
      </c>
      <c r="X6" s="329">
        <v>-24</v>
      </c>
      <c r="Y6" s="329">
        <v>-25</v>
      </c>
      <c r="Z6" s="329">
        <v>-26</v>
      </c>
      <c r="AA6" s="329">
        <v>-27</v>
      </c>
      <c r="AB6" s="329">
        <v>-28</v>
      </c>
      <c r="AC6" s="329">
        <v>-29</v>
      </c>
      <c r="AD6" s="329">
        <v>-30</v>
      </c>
      <c r="AE6" s="329">
        <v>-31</v>
      </c>
      <c r="AF6" s="329">
        <v>-32</v>
      </c>
      <c r="AG6" s="329">
        <v>-33</v>
      </c>
      <c r="AH6" s="329">
        <v>-34</v>
      </c>
      <c r="AI6" s="329">
        <v>-35</v>
      </c>
      <c r="AJ6" s="329">
        <v>-36</v>
      </c>
    </row>
    <row r="7" spans="1:36" s="46" customFormat="1" ht="360">
      <c r="A7" s="298">
        <v>1</v>
      </c>
      <c r="B7" s="330" t="s">
        <v>816</v>
      </c>
      <c r="C7" s="298" t="s">
        <v>786</v>
      </c>
      <c r="D7" s="298" t="s">
        <v>782</v>
      </c>
      <c r="E7" s="330" t="s">
        <v>821</v>
      </c>
      <c r="F7" s="330" t="s">
        <v>776</v>
      </c>
      <c r="G7" s="298" t="s">
        <v>902</v>
      </c>
      <c r="H7" s="298">
        <v>47.5</v>
      </c>
      <c r="I7" s="332">
        <v>1045</v>
      </c>
      <c r="J7" s="298" t="s">
        <v>903</v>
      </c>
      <c r="K7" s="330" t="s">
        <v>830</v>
      </c>
      <c r="L7" s="298" t="s">
        <v>904</v>
      </c>
      <c r="M7" s="298"/>
      <c r="N7" s="298" t="s">
        <v>905</v>
      </c>
      <c r="O7" s="298">
        <v>0.3</v>
      </c>
      <c r="P7" s="298"/>
      <c r="Q7" s="298"/>
      <c r="R7" s="298">
        <v>12</v>
      </c>
      <c r="S7" s="298">
        <v>250</v>
      </c>
      <c r="T7" s="298">
        <v>5.28</v>
      </c>
      <c r="U7" s="298">
        <v>2.64</v>
      </c>
      <c r="V7" s="298"/>
      <c r="W7" s="298">
        <f>AC7*400</f>
        <v>164</v>
      </c>
      <c r="X7" s="298"/>
      <c r="Y7" s="298">
        <f>X7+W7+V7+U7+T7</f>
        <v>171.92</v>
      </c>
      <c r="Z7" s="298">
        <f>0.22*0.6</f>
        <v>0.132</v>
      </c>
      <c r="AA7" s="298">
        <f>0.22*0.4</f>
        <v>0.08800000000000001</v>
      </c>
      <c r="AB7" s="298"/>
      <c r="AC7" s="298">
        <v>0.41</v>
      </c>
      <c r="AD7" s="298">
        <v>1626.6</v>
      </c>
      <c r="AE7" s="298" t="s">
        <v>774</v>
      </c>
      <c r="AF7" s="298">
        <v>1012802</v>
      </c>
      <c r="AG7" s="298">
        <v>252309</v>
      </c>
      <c r="AH7" s="298">
        <v>1011957</v>
      </c>
      <c r="AI7" s="298">
        <v>251920</v>
      </c>
      <c r="AJ7" s="298"/>
    </row>
    <row r="8" spans="1:36" s="46" customFormat="1" ht="48">
      <c r="A8" s="298">
        <v>2</v>
      </c>
      <c r="B8" s="330" t="s">
        <v>817</v>
      </c>
      <c r="C8" s="298" t="s">
        <v>786</v>
      </c>
      <c r="D8" s="298" t="s">
        <v>782</v>
      </c>
      <c r="E8" s="330" t="s">
        <v>822</v>
      </c>
      <c r="F8" s="330" t="s">
        <v>776</v>
      </c>
      <c r="G8" s="298" t="s">
        <v>902</v>
      </c>
      <c r="H8" s="298">
        <v>10.45</v>
      </c>
      <c r="I8" s="332">
        <v>229.9</v>
      </c>
      <c r="J8" s="298" t="s">
        <v>903</v>
      </c>
      <c r="K8" s="330" t="s">
        <v>830</v>
      </c>
      <c r="L8" s="298" t="s">
        <v>904</v>
      </c>
      <c r="M8" s="298"/>
      <c r="N8" s="298" t="s">
        <v>905</v>
      </c>
      <c r="O8" s="298">
        <v>0.3</v>
      </c>
      <c r="P8" s="298"/>
      <c r="Q8" s="298"/>
      <c r="R8" s="298">
        <v>17</v>
      </c>
      <c r="S8" s="298">
        <v>320</v>
      </c>
      <c r="T8" s="298">
        <v>59.13</v>
      </c>
      <c r="U8" s="298">
        <v>39.42</v>
      </c>
      <c r="V8" s="298"/>
      <c r="W8" s="298">
        <f aca="true" t="shared" si="0" ref="W8:W17">AC8*400</f>
        <v>152</v>
      </c>
      <c r="X8" s="298"/>
      <c r="Y8" s="298">
        <f aca="true" t="shared" si="1" ref="Y8:Y21">X8+W8+V8+U8+T8</f>
        <v>250.55</v>
      </c>
      <c r="Z8" s="298">
        <f>3.6*0.6</f>
        <v>2.16</v>
      </c>
      <c r="AA8" s="298">
        <f>3.6*0.4</f>
        <v>1.4400000000000002</v>
      </c>
      <c r="AB8" s="298"/>
      <c r="AC8" s="298">
        <v>0.38</v>
      </c>
      <c r="AD8" s="298">
        <v>2304.35</v>
      </c>
      <c r="AE8" s="298" t="s">
        <v>774</v>
      </c>
      <c r="AF8" s="298">
        <v>1012858</v>
      </c>
      <c r="AG8" s="298">
        <v>252320</v>
      </c>
      <c r="AH8" s="298">
        <v>1011957</v>
      </c>
      <c r="AI8" s="298">
        <v>251920</v>
      </c>
      <c r="AJ8" s="298"/>
    </row>
    <row r="9" spans="1:37" s="46" customFormat="1" ht="36">
      <c r="A9" s="298">
        <v>3</v>
      </c>
      <c r="B9" s="330" t="s">
        <v>818</v>
      </c>
      <c r="C9" s="298" t="s">
        <v>786</v>
      </c>
      <c r="D9" s="298" t="s">
        <v>782</v>
      </c>
      <c r="E9" s="330" t="s">
        <v>823</v>
      </c>
      <c r="F9" s="330" t="s">
        <v>829</v>
      </c>
      <c r="G9" s="298" t="s">
        <v>902</v>
      </c>
      <c r="H9" s="298">
        <v>49.1</v>
      </c>
      <c r="I9" s="332">
        <v>1080.2</v>
      </c>
      <c r="J9" s="298" t="s">
        <v>903</v>
      </c>
      <c r="K9" s="330" t="s">
        <v>830</v>
      </c>
      <c r="L9" s="298" t="s">
        <v>904</v>
      </c>
      <c r="M9" s="298"/>
      <c r="N9" s="298" t="s">
        <v>906</v>
      </c>
      <c r="O9" s="298">
        <v>0.07</v>
      </c>
      <c r="P9" s="298">
        <v>75</v>
      </c>
      <c r="Q9" s="298">
        <v>150</v>
      </c>
      <c r="R9" s="298">
        <v>1.2</v>
      </c>
      <c r="S9" s="298">
        <v>50</v>
      </c>
      <c r="T9" s="298"/>
      <c r="U9" s="298"/>
      <c r="V9" s="298"/>
      <c r="W9" s="298">
        <f t="shared" si="0"/>
        <v>32</v>
      </c>
      <c r="X9" s="298"/>
      <c r="Y9" s="298">
        <f t="shared" si="1"/>
        <v>32</v>
      </c>
      <c r="Z9" s="298"/>
      <c r="AA9" s="298"/>
      <c r="AB9" s="298"/>
      <c r="AC9" s="298">
        <v>0.08</v>
      </c>
      <c r="AD9" s="298">
        <v>600</v>
      </c>
      <c r="AE9" s="298" t="s">
        <v>774</v>
      </c>
      <c r="AF9" s="298">
        <v>1013219</v>
      </c>
      <c r="AG9" s="298">
        <v>251530</v>
      </c>
      <c r="AH9" s="298">
        <v>1013216</v>
      </c>
      <c r="AI9" s="298">
        <v>251453</v>
      </c>
      <c r="AJ9" s="298"/>
      <c r="AK9" s="46">
        <v>2020</v>
      </c>
    </row>
    <row r="10" spans="1:36" s="46" customFormat="1" ht="48">
      <c r="A10" s="298">
        <v>4</v>
      </c>
      <c r="B10" s="330" t="s">
        <v>819</v>
      </c>
      <c r="C10" s="298" t="s">
        <v>786</v>
      </c>
      <c r="D10" s="298" t="s">
        <v>782</v>
      </c>
      <c r="E10" s="330" t="s">
        <v>824</v>
      </c>
      <c r="F10" s="330" t="s">
        <v>776</v>
      </c>
      <c r="G10" s="298" t="s">
        <v>902</v>
      </c>
      <c r="H10" s="298">
        <v>47.5</v>
      </c>
      <c r="I10" s="332">
        <v>1045</v>
      </c>
      <c r="J10" s="298" t="s">
        <v>903</v>
      </c>
      <c r="K10" s="330" t="s">
        <v>830</v>
      </c>
      <c r="L10" s="298" t="s">
        <v>904</v>
      </c>
      <c r="M10" s="298"/>
      <c r="N10" s="298" t="s">
        <v>906</v>
      </c>
      <c r="O10" s="298">
        <v>0.17</v>
      </c>
      <c r="P10" s="298"/>
      <c r="Q10" s="298"/>
      <c r="R10" s="298">
        <v>10.6</v>
      </c>
      <c r="S10" s="298">
        <v>60</v>
      </c>
      <c r="T10" s="298"/>
      <c r="U10" s="298"/>
      <c r="V10" s="298"/>
      <c r="W10" s="298">
        <f t="shared" si="0"/>
        <v>40</v>
      </c>
      <c r="X10" s="298"/>
      <c r="Y10" s="298">
        <f t="shared" si="1"/>
        <v>40</v>
      </c>
      <c r="Z10" s="298"/>
      <c r="AA10" s="298"/>
      <c r="AB10" s="298"/>
      <c r="AC10" s="298">
        <v>0.1</v>
      </c>
      <c r="AD10" s="298">
        <v>1450</v>
      </c>
      <c r="AE10" s="298" t="s">
        <v>774</v>
      </c>
      <c r="AF10" s="298">
        <v>1013355</v>
      </c>
      <c r="AG10" s="298">
        <v>252013</v>
      </c>
      <c r="AH10" s="298">
        <v>1013219</v>
      </c>
      <c r="AI10" s="298">
        <v>251530</v>
      </c>
      <c r="AJ10" s="298"/>
    </row>
    <row r="11" spans="1:37" s="46" customFormat="1" ht="36">
      <c r="A11" s="298">
        <v>5</v>
      </c>
      <c r="B11" s="330" t="s">
        <v>820</v>
      </c>
      <c r="C11" s="298" t="s">
        <v>786</v>
      </c>
      <c r="D11" s="298" t="s">
        <v>782</v>
      </c>
      <c r="E11" s="330" t="s">
        <v>825</v>
      </c>
      <c r="F11" s="330" t="s">
        <v>828</v>
      </c>
      <c r="G11" s="298" t="s">
        <v>902</v>
      </c>
      <c r="H11" s="298">
        <v>83.2</v>
      </c>
      <c r="I11" s="332">
        <v>1830.4</v>
      </c>
      <c r="J11" s="298" t="s">
        <v>903</v>
      </c>
      <c r="K11" s="330" t="s">
        <v>830</v>
      </c>
      <c r="L11" s="298" t="s">
        <v>904</v>
      </c>
      <c r="M11" s="298"/>
      <c r="N11" s="298" t="s">
        <v>907</v>
      </c>
      <c r="O11" s="298">
        <v>0.1</v>
      </c>
      <c r="P11" s="298">
        <v>230</v>
      </c>
      <c r="Q11" s="298">
        <v>220</v>
      </c>
      <c r="R11" s="298">
        <v>9.2</v>
      </c>
      <c r="S11" s="298">
        <v>75</v>
      </c>
      <c r="T11" s="298"/>
      <c r="U11" s="298">
        <v>32.85</v>
      </c>
      <c r="V11" s="298"/>
      <c r="W11" s="298">
        <f t="shared" si="0"/>
        <v>28.000000000000004</v>
      </c>
      <c r="X11" s="298"/>
      <c r="Y11" s="298">
        <f t="shared" si="1"/>
        <v>60.85000000000001</v>
      </c>
      <c r="Z11" s="298"/>
      <c r="AA11" s="298">
        <v>1.2</v>
      </c>
      <c r="AB11" s="298"/>
      <c r="AC11" s="298">
        <v>0.07</v>
      </c>
      <c r="AD11" s="298">
        <v>2300</v>
      </c>
      <c r="AE11" s="298" t="s">
        <v>774</v>
      </c>
      <c r="AF11" s="298">
        <v>1014308</v>
      </c>
      <c r="AG11" s="298">
        <v>252521</v>
      </c>
      <c r="AH11" s="298">
        <v>1013955</v>
      </c>
      <c r="AI11" s="298">
        <v>252701</v>
      </c>
      <c r="AJ11" s="298"/>
      <c r="AK11" s="46">
        <v>2016</v>
      </c>
    </row>
    <row r="12" spans="1:37" s="46" customFormat="1" ht="36">
      <c r="A12" s="298">
        <v>6</v>
      </c>
      <c r="B12" s="330" t="s">
        <v>814</v>
      </c>
      <c r="C12" s="298" t="s">
        <v>786</v>
      </c>
      <c r="D12" s="298" t="s">
        <v>782</v>
      </c>
      <c r="E12" s="330" t="s">
        <v>826</v>
      </c>
      <c r="F12" s="330" t="s">
        <v>827</v>
      </c>
      <c r="G12" s="298" t="s">
        <v>902</v>
      </c>
      <c r="H12" s="298">
        <v>21.1</v>
      </c>
      <c r="I12" s="332">
        <v>464.2</v>
      </c>
      <c r="J12" s="298" t="s">
        <v>903</v>
      </c>
      <c r="K12" s="330" t="s">
        <v>830</v>
      </c>
      <c r="L12" s="298" t="s">
        <v>904</v>
      </c>
      <c r="M12" s="298"/>
      <c r="N12" s="298" t="s">
        <v>908</v>
      </c>
      <c r="O12" s="298">
        <v>0.17</v>
      </c>
      <c r="P12" s="298"/>
      <c r="Q12" s="298"/>
      <c r="R12" s="298">
        <v>5.6</v>
      </c>
      <c r="S12" s="298">
        <v>89</v>
      </c>
      <c r="T12" s="298"/>
      <c r="U12" s="298"/>
      <c r="V12" s="298"/>
      <c r="W12" s="298">
        <f t="shared" si="0"/>
        <v>60</v>
      </c>
      <c r="X12" s="298"/>
      <c r="Y12" s="298">
        <f t="shared" si="1"/>
        <v>60</v>
      </c>
      <c r="Z12" s="298"/>
      <c r="AA12" s="298"/>
      <c r="AB12" s="298"/>
      <c r="AC12" s="298">
        <v>0.15</v>
      </c>
      <c r="AD12" s="298">
        <v>748</v>
      </c>
      <c r="AE12" s="298" t="s">
        <v>812</v>
      </c>
      <c r="AF12" s="298">
        <v>1013939</v>
      </c>
      <c r="AG12" s="298">
        <v>253218</v>
      </c>
      <c r="AH12" s="298">
        <v>1013912</v>
      </c>
      <c r="AI12" s="298">
        <v>253318</v>
      </c>
      <c r="AJ12" s="298"/>
      <c r="AK12" s="46">
        <v>2017</v>
      </c>
    </row>
    <row r="13" spans="1:37" s="46" customFormat="1" ht="36">
      <c r="A13" s="298">
        <v>7</v>
      </c>
      <c r="B13" s="330" t="s">
        <v>815</v>
      </c>
      <c r="C13" s="298" t="s">
        <v>786</v>
      </c>
      <c r="D13" s="298" t="s">
        <v>782</v>
      </c>
      <c r="E13" s="330" t="s">
        <v>826</v>
      </c>
      <c r="F13" s="330" t="s">
        <v>827</v>
      </c>
      <c r="G13" s="298" t="s">
        <v>902</v>
      </c>
      <c r="H13" s="298">
        <v>21.1</v>
      </c>
      <c r="I13" s="332">
        <v>464.2</v>
      </c>
      <c r="J13" s="298" t="s">
        <v>903</v>
      </c>
      <c r="K13" s="330" t="s">
        <v>830</v>
      </c>
      <c r="L13" s="298" t="s">
        <v>904</v>
      </c>
      <c r="M13" s="298"/>
      <c r="N13" s="298" t="s">
        <v>908</v>
      </c>
      <c r="O13" s="298">
        <v>0.17</v>
      </c>
      <c r="P13" s="298"/>
      <c r="Q13" s="298"/>
      <c r="R13" s="298">
        <v>6.2</v>
      </c>
      <c r="S13" s="298">
        <v>89</v>
      </c>
      <c r="T13" s="298"/>
      <c r="U13" s="298"/>
      <c r="V13" s="298"/>
      <c r="W13" s="298">
        <f t="shared" si="0"/>
        <v>60</v>
      </c>
      <c r="X13" s="298"/>
      <c r="Y13" s="298">
        <f t="shared" si="1"/>
        <v>60</v>
      </c>
      <c r="Z13" s="298"/>
      <c r="AA13" s="298"/>
      <c r="AB13" s="298"/>
      <c r="AC13" s="298">
        <v>0.15</v>
      </c>
      <c r="AD13" s="298">
        <v>828</v>
      </c>
      <c r="AE13" s="298" t="s">
        <v>812</v>
      </c>
      <c r="AF13" s="298">
        <v>1013939</v>
      </c>
      <c r="AG13" s="298">
        <v>253218</v>
      </c>
      <c r="AH13" s="298">
        <v>1014107</v>
      </c>
      <c r="AI13" s="298">
        <v>253505</v>
      </c>
      <c r="AJ13" s="298"/>
      <c r="AK13" s="46">
        <v>2017</v>
      </c>
    </row>
    <row r="14" spans="1:37" s="677" customFormat="1" ht="33.75">
      <c r="A14" s="298">
        <v>8</v>
      </c>
      <c r="B14" s="468" t="s">
        <v>1289</v>
      </c>
      <c r="C14" s="298" t="s">
        <v>1290</v>
      </c>
      <c r="D14" s="298" t="s">
        <v>1291</v>
      </c>
      <c r="E14" s="674" t="s">
        <v>590</v>
      </c>
      <c r="F14" s="675" t="s">
        <v>1292</v>
      </c>
      <c r="G14" s="298" t="s">
        <v>1293</v>
      </c>
      <c r="H14" s="675">
        <v>51.1</v>
      </c>
      <c r="I14" s="676"/>
      <c r="J14" s="298" t="s">
        <v>1187</v>
      </c>
      <c r="K14" s="334"/>
      <c r="L14" s="298" t="s">
        <v>1294</v>
      </c>
      <c r="M14" s="675"/>
      <c r="N14" s="298" t="s">
        <v>1295</v>
      </c>
      <c r="O14" s="675">
        <v>0.1</v>
      </c>
      <c r="P14" s="675">
        <v>80</v>
      </c>
      <c r="Q14" s="675">
        <v>250</v>
      </c>
      <c r="R14" s="675">
        <v>2.7</v>
      </c>
      <c r="S14" s="675">
        <v>80</v>
      </c>
      <c r="T14" s="675"/>
      <c r="U14" s="675">
        <v>32</v>
      </c>
      <c r="V14" s="675"/>
      <c r="W14" s="298">
        <f t="shared" si="0"/>
        <v>104</v>
      </c>
      <c r="X14" s="675"/>
      <c r="Y14" s="298">
        <f t="shared" si="1"/>
        <v>136</v>
      </c>
      <c r="Z14" s="675"/>
      <c r="AA14" s="675"/>
      <c r="AB14" s="675"/>
      <c r="AC14" s="675">
        <v>0.26</v>
      </c>
      <c r="AD14" s="675">
        <v>1400</v>
      </c>
      <c r="AE14" s="298" t="s">
        <v>1296</v>
      </c>
      <c r="AF14" s="298">
        <v>1014019</v>
      </c>
      <c r="AG14" s="298">
        <v>252521</v>
      </c>
      <c r="AH14" s="298">
        <v>1013955</v>
      </c>
      <c r="AI14" s="298">
        <v>252701</v>
      </c>
      <c r="AJ14" s="675"/>
      <c r="AK14" s="677">
        <v>2017</v>
      </c>
    </row>
    <row r="15" spans="1:37" s="679" customFormat="1" ht="36">
      <c r="A15" s="298">
        <v>9</v>
      </c>
      <c r="B15" s="468" t="s">
        <v>1646</v>
      </c>
      <c r="C15" s="274" t="s">
        <v>1334</v>
      </c>
      <c r="D15" s="274" t="s">
        <v>1325</v>
      </c>
      <c r="E15" s="468" t="s">
        <v>1647</v>
      </c>
      <c r="F15" s="468" t="s">
        <v>1648</v>
      </c>
      <c r="G15" s="274" t="s">
        <v>1649</v>
      </c>
      <c r="H15" s="468">
        <v>42.2</v>
      </c>
      <c r="I15" s="678">
        <f>H15*22</f>
        <v>928.4000000000001</v>
      </c>
      <c r="J15" s="274" t="s">
        <v>1375</v>
      </c>
      <c r="K15" s="330" t="s">
        <v>1650</v>
      </c>
      <c r="L15" s="274" t="s">
        <v>1651</v>
      </c>
      <c r="M15" s="468"/>
      <c r="N15" s="274" t="s">
        <v>1652</v>
      </c>
      <c r="O15" s="468">
        <v>0.15</v>
      </c>
      <c r="P15" s="468"/>
      <c r="Q15" s="468"/>
      <c r="R15" s="468"/>
      <c r="S15" s="468">
        <v>75</v>
      </c>
      <c r="T15" s="468"/>
      <c r="U15" s="468">
        <v>15</v>
      </c>
      <c r="V15" s="468"/>
      <c r="W15" s="298">
        <f t="shared" si="0"/>
        <v>60</v>
      </c>
      <c r="X15" s="468"/>
      <c r="Y15" s="298">
        <f t="shared" si="1"/>
        <v>75</v>
      </c>
      <c r="Z15" s="468"/>
      <c r="AA15" s="468">
        <v>0.3672</v>
      </c>
      <c r="AB15" s="468"/>
      <c r="AC15" s="468">
        <v>0.15</v>
      </c>
      <c r="AD15" s="468">
        <v>750</v>
      </c>
      <c r="AE15" s="274" t="s">
        <v>812</v>
      </c>
      <c r="AF15" s="468">
        <v>1013904</v>
      </c>
      <c r="AG15" s="468">
        <v>252426</v>
      </c>
      <c r="AH15" s="468">
        <v>1013822</v>
      </c>
      <c r="AI15" s="468">
        <v>252433</v>
      </c>
      <c r="AJ15" s="468"/>
      <c r="AK15" s="46">
        <v>2018</v>
      </c>
    </row>
    <row r="16" spans="1:37" s="679" customFormat="1" ht="45">
      <c r="A16" s="298">
        <v>10</v>
      </c>
      <c r="B16" s="468" t="s">
        <v>1653</v>
      </c>
      <c r="C16" s="274" t="s">
        <v>1334</v>
      </c>
      <c r="D16" s="274" t="s">
        <v>1325</v>
      </c>
      <c r="E16" s="468" t="s">
        <v>1654</v>
      </c>
      <c r="F16" s="468" t="s">
        <v>1648</v>
      </c>
      <c r="G16" s="274" t="s">
        <v>1649</v>
      </c>
      <c r="H16" s="468">
        <v>36.3</v>
      </c>
      <c r="I16" s="678">
        <f>H16*22</f>
        <v>798.5999999999999</v>
      </c>
      <c r="J16" s="274" t="s">
        <v>1375</v>
      </c>
      <c r="K16" s="330" t="s">
        <v>1650</v>
      </c>
      <c r="L16" s="274" t="s">
        <v>1651</v>
      </c>
      <c r="M16" s="468"/>
      <c r="N16" s="274" t="s">
        <v>1652</v>
      </c>
      <c r="O16" s="468">
        <v>0.12</v>
      </c>
      <c r="P16" s="468"/>
      <c r="Q16" s="468"/>
      <c r="R16" s="468"/>
      <c r="S16" s="468">
        <v>60</v>
      </c>
      <c r="T16" s="468"/>
      <c r="U16" s="468">
        <v>12</v>
      </c>
      <c r="V16" s="468"/>
      <c r="W16" s="298">
        <f t="shared" si="0"/>
        <v>40</v>
      </c>
      <c r="X16" s="468"/>
      <c r="Y16" s="298">
        <f t="shared" si="1"/>
        <v>52</v>
      </c>
      <c r="Z16" s="468"/>
      <c r="AA16" s="468">
        <v>0.1229</v>
      </c>
      <c r="AB16" s="468"/>
      <c r="AC16" s="468">
        <v>0.1</v>
      </c>
      <c r="AD16" s="468">
        <v>600</v>
      </c>
      <c r="AE16" s="274" t="s">
        <v>812</v>
      </c>
      <c r="AF16" s="468">
        <v>1013717</v>
      </c>
      <c r="AG16" s="468">
        <v>252601</v>
      </c>
      <c r="AH16" s="468">
        <v>1013742</v>
      </c>
      <c r="AI16" s="468">
        <v>252522</v>
      </c>
      <c r="AJ16" s="468"/>
      <c r="AK16" s="46">
        <v>2019</v>
      </c>
    </row>
    <row r="17" spans="1:37" s="679" customFormat="1" ht="56.25">
      <c r="A17" s="298">
        <v>11</v>
      </c>
      <c r="B17" s="468" t="s">
        <v>1655</v>
      </c>
      <c r="C17" s="274" t="s">
        <v>1334</v>
      </c>
      <c r="D17" s="274" t="s">
        <v>1325</v>
      </c>
      <c r="E17" s="468" t="s">
        <v>1656</v>
      </c>
      <c r="F17" s="468" t="s">
        <v>1648</v>
      </c>
      <c r="G17" s="274" t="s">
        <v>1649</v>
      </c>
      <c r="H17" s="468">
        <v>43.2</v>
      </c>
      <c r="I17" s="678">
        <f>H17*22</f>
        <v>950.4000000000001</v>
      </c>
      <c r="J17" s="274" t="s">
        <v>1375</v>
      </c>
      <c r="K17" s="330" t="s">
        <v>1650</v>
      </c>
      <c r="L17" s="274" t="s">
        <v>1651</v>
      </c>
      <c r="M17" s="468"/>
      <c r="N17" s="274" t="s">
        <v>1652</v>
      </c>
      <c r="O17" s="468">
        <v>0.15</v>
      </c>
      <c r="P17" s="468"/>
      <c r="Q17" s="468"/>
      <c r="R17" s="468">
        <v>20</v>
      </c>
      <c r="S17" s="468">
        <v>400</v>
      </c>
      <c r="T17" s="468"/>
      <c r="U17" s="468">
        <v>40</v>
      </c>
      <c r="V17" s="468"/>
      <c r="W17" s="298">
        <f t="shared" si="0"/>
        <v>60</v>
      </c>
      <c r="X17" s="468"/>
      <c r="Y17" s="298">
        <f t="shared" si="1"/>
        <v>100</v>
      </c>
      <c r="Z17" s="468"/>
      <c r="AA17" s="468">
        <v>0.3672</v>
      </c>
      <c r="AB17" s="468"/>
      <c r="AC17" s="468">
        <v>0.15</v>
      </c>
      <c r="AD17" s="468">
        <v>2000</v>
      </c>
      <c r="AE17" s="274" t="s">
        <v>812</v>
      </c>
      <c r="AF17" s="468">
        <v>1013357</v>
      </c>
      <c r="AG17" s="468">
        <v>25200428</v>
      </c>
      <c r="AH17" s="468">
        <v>1013558</v>
      </c>
      <c r="AI17" s="680">
        <v>252152</v>
      </c>
      <c r="AJ17" s="468"/>
      <c r="AK17" s="46">
        <v>2019</v>
      </c>
    </row>
    <row r="18" spans="1:37" s="679" customFormat="1" ht="36">
      <c r="A18" s="298">
        <v>12</v>
      </c>
      <c r="B18" s="681" t="s">
        <v>580</v>
      </c>
      <c r="C18" s="274" t="s">
        <v>1334</v>
      </c>
      <c r="D18" s="274" t="s">
        <v>1325</v>
      </c>
      <c r="E18" s="495" t="s">
        <v>581</v>
      </c>
      <c r="F18" s="330" t="s">
        <v>776</v>
      </c>
      <c r="G18" s="298" t="s">
        <v>902</v>
      </c>
      <c r="H18" s="298">
        <v>47.5</v>
      </c>
      <c r="I18" s="332">
        <v>1045</v>
      </c>
      <c r="J18" s="298" t="s">
        <v>903</v>
      </c>
      <c r="K18" s="330" t="s">
        <v>830</v>
      </c>
      <c r="L18" s="298" t="s">
        <v>904</v>
      </c>
      <c r="M18" s="298"/>
      <c r="N18" s="495" t="s">
        <v>582</v>
      </c>
      <c r="O18" s="298">
        <v>0.17</v>
      </c>
      <c r="P18" s="298"/>
      <c r="Q18" s="298"/>
      <c r="R18" s="298">
        <v>26</v>
      </c>
      <c r="S18" s="298">
        <v>60</v>
      </c>
      <c r="T18" s="298"/>
      <c r="U18" s="298"/>
      <c r="V18" s="298"/>
      <c r="W18" s="298">
        <v>60</v>
      </c>
      <c r="X18" s="298"/>
      <c r="Y18" s="298">
        <f t="shared" si="1"/>
        <v>60</v>
      </c>
      <c r="Z18" s="298"/>
      <c r="AA18" s="298"/>
      <c r="AB18" s="298"/>
      <c r="AC18" s="298">
        <v>0.15</v>
      </c>
      <c r="AD18" s="298">
        <v>5500</v>
      </c>
      <c r="AE18" s="274" t="s">
        <v>812</v>
      </c>
      <c r="AF18" s="468">
        <v>1013357</v>
      </c>
      <c r="AG18" s="468">
        <v>25200428</v>
      </c>
      <c r="AH18" s="468">
        <v>1013558</v>
      </c>
      <c r="AI18" s="680">
        <v>252152</v>
      </c>
      <c r="AJ18" s="468"/>
      <c r="AK18" s="46">
        <v>2020</v>
      </c>
    </row>
    <row r="19" spans="1:36" s="679" customFormat="1" ht="48">
      <c r="A19" s="298">
        <v>13</v>
      </c>
      <c r="B19" s="495" t="s">
        <v>583</v>
      </c>
      <c r="C19" s="298" t="s">
        <v>786</v>
      </c>
      <c r="D19" s="298" t="s">
        <v>782</v>
      </c>
      <c r="E19" s="495" t="s">
        <v>584</v>
      </c>
      <c r="F19" s="330" t="s">
        <v>776</v>
      </c>
      <c r="G19" s="298" t="s">
        <v>902</v>
      </c>
      <c r="H19" s="298">
        <v>47.5</v>
      </c>
      <c r="I19" s="332">
        <v>1045</v>
      </c>
      <c r="J19" s="298" t="s">
        <v>903</v>
      </c>
      <c r="K19" s="330" t="s">
        <v>830</v>
      </c>
      <c r="L19" s="298" t="s">
        <v>904</v>
      </c>
      <c r="M19" s="298"/>
      <c r="N19" s="589" t="s">
        <v>905</v>
      </c>
      <c r="O19" s="298">
        <v>0.16</v>
      </c>
      <c r="P19" s="298"/>
      <c r="Q19" s="298"/>
      <c r="R19" s="298">
        <v>8</v>
      </c>
      <c r="S19" s="298">
        <v>100</v>
      </c>
      <c r="T19" s="298"/>
      <c r="U19" s="298"/>
      <c r="V19" s="298"/>
      <c r="W19" s="298">
        <v>100</v>
      </c>
      <c r="X19" s="298"/>
      <c r="Y19" s="298">
        <f t="shared" si="1"/>
        <v>100</v>
      </c>
      <c r="Z19" s="298"/>
      <c r="AA19" s="298"/>
      <c r="AB19" s="298"/>
      <c r="AC19" s="298">
        <v>0.25</v>
      </c>
      <c r="AD19" s="298">
        <v>2500</v>
      </c>
      <c r="AJ19" s="682"/>
    </row>
    <row r="20" spans="1:36" s="679" customFormat="1" ht="56.25">
      <c r="A20" s="298">
        <v>14</v>
      </c>
      <c r="B20" s="683" t="s">
        <v>585</v>
      </c>
      <c r="C20" s="274" t="s">
        <v>1334</v>
      </c>
      <c r="D20" s="274" t="s">
        <v>1325</v>
      </c>
      <c r="E20" s="497" t="s">
        <v>589</v>
      </c>
      <c r="F20" s="330" t="s">
        <v>776</v>
      </c>
      <c r="G20" s="298" t="s">
        <v>902</v>
      </c>
      <c r="H20" s="298">
        <v>47.5</v>
      </c>
      <c r="I20" s="332">
        <v>1045</v>
      </c>
      <c r="J20" s="298" t="s">
        <v>903</v>
      </c>
      <c r="K20" s="330" t="s">
        <v>830</v>
      </c>
      <c r="L20" s="298" t="s">
        <v>904</v>
      </c>
      <c r="M20" s="298"/>
      <c r="N20" s="495" t="s">
        <v>587</v>
      </c>
      <c r="O20" s="298">
        <v>0.142</v>
      </c>
      <c r="P20" s="298"/>
      <c r="Q20" s="298"/>
      <c r="R20" s="298">
        <v>8.9</v>
      </c>
      <c r="S20" s="298">
        <v>40.88</v>
      </c>
      <c r="T20" s="298">
        <v>40.88</v>
      </c>
      <c r="U20" s="298"/>
      <c r="V20" s="298"/>
      <c r="W20" s="298"/>
      <c r="X20" s="298"/>
      <c r="Y20" s="298">
        <f t="shared" si="1"/>
        <v>40.88</v>
      </c>
      <c r="Z20" s="298">
        <v>1.6</v>
      </c>
      <c r="AA20" s="298"/>
      <c r="AB20" s="298"/>
      <c r="AC20" s="298"/>
      <c r="AD20" s="298">
        <v>1300</v>
      </c>
      <c r="AE20" s="274" t="s">
        <v>812</v>
      </c>
      <c r="AF20" s="468">
        <v>1013357</v>
      </c>
      <c r="AG20" s="468">
        <v>25200428</v>
      </c>
      <c r="AH20" s="468">
        <v>1013558</v>
      </c>
      <c r="AI20" s="468">
        <v>252152</v>
      </c>
      <c r="AJ20" s="468"/>
    </row>
    <row r="21" spans="1:37" s="679" customFormat="1" ht="60">
      <c r="A21" s="298">
        <v>15</v>
      </c>
      <c r="B21" s="674" t="s">
        <v>588</v>
      </c>
      <c r="C21" s="274" t="s">
        <v>1334</v>
      </c>
      <c r="D21" s="274" t="s">
        <v>1325</v>
      </c>
      <c r="E21" s="497" t="s">
        <v>591</v>
      </c>
      <c r="F21" s="330" t="s">
        <v>776</v>
      </c>
      <c r="G21" s="298" t="s">
        <v>902</v>
      </c>
      <c r="H21" s="298">
        <v>47.5</v>
      </c>
      <c r="I21" s="332">
        <v>1045</v>
      </c>
      <c r="J21" s="298" t="s">
        <v>903</v>
      </c>
      <c r="K21" s="330" t="s">
        <v>830</v>
      </c>
      <c r="L21" s="298" t="s">
        <v>904</v>
      </c>
      <c r="M21" s="298"/>
      <c r="N21" s="497" t="s">
        <v>586</v>
      </c>
      <c r="O21" s="298">
        <v>0.1</v>
      </c>
      <c r="P21" s="298"/>
      <c r="Q21" s="298"/>
      <c r="R21" s="298">
        <v>35</v>
      </c>
      <c r="S21" s="298">
        <v>175</v>
      </c>
      <c r="T21" s="298"/>
      <c r="U21" s="298"/>
      <c r="V21" s="298"/>
      <c r="W21" s="298">
        <v>175</v>
      </c>
      <c r="X21" s="298"/>
      <c r="Y21" s="298">
        <f t="shared" si="1"/>
        <v>175</v>
      </c>
      <c r="Z21" s="298"/>
      <c r="AA21" s="298"/>
      <c r="AB21" s="298"/>
      <c r="AC21" s="298">
        <v>1.2</v>
      </c>
      <c r="AD21" s="298">
        <v>2500</v>
      </c>
      <c r="AE21" s="274" t="s">
        <v>812</v>
      </c>
      <c r="AF21" s="468">
        <v>1013357</v>
      </c>
      <c r="AG21" s="468">
        <v>25200428</v>
      </c>
      <c r="AH21" s="468">
        <v>1013558</v>
      </c>
      <c r="AI21" s="468">
        <v>252152</v>
      </c>
      <c r="AJ21" s="468"/>
      <c r="AK21" s="46">
        <v>2020</v>
      </c>
    </row>
    <row r="22" spans="1:37" s="679" customFormat="1" ht="36">
      <c r="A22" s="298">
        <v>16</v>
      </c>
      <c r="B22" s="497" t="s">
        <v>592</v>
      </c>
      <c r="C22" s="298" t="s">
        <v>786</v>
      </c>
      <c r="D22" s="298" t="s">
        <v>782</v>
      </c>
      <c r="E22" s="497" t="s">
        <v>593</v>
      </c>
      <c r="F22" s="330" t="s">
        <v>827</v>
      </c>
      <c r="G22" s="298" t="s">
        <v>902</v>
      </c>
      <c r="H22" s="298">
        <v>21.1</v>
      </c>
      <c r="I22" s="332">
        <v>464.2</v>
      </c>
      <c r="J22" s="298" t="s">
        <v>903</v>
      </c>
      <c r="K22" s="330" t="s">
        <v>830</v>
      </c>
      <c r="L22" s="298" t="s">
        <v>904</v>
      </c>
      <c r="M22" s="298"/>
      <c r="N22" s="684" t="s">
        <v>906</v>
      </c>
      <c r="O22" s="298">
        <v>0.17</v>
      </c>
      <c r="P22" s="298"/>
      <c r="Q22" s="298"/>
      <c r="R22" s="298">
        <v>14.96</v>
      </c>
      <c r="S22" s="298">
        <v>65.4</v>
      </c>
      <c r="T22" s="298">
        <v>28.2</v>
      </c>
      <c r="U22" s="298"/>
      <c r="V22" s="298"/>
      <c r="W22" s="298">
        <v>37.2</v>
      </c>
      <c r="X22" s="298"/>
      <c r="Y22" s="298">
        <f>X22+W22+V22+U22+T22</f>
        <v>65.4</v>
      </c>
      <c r="Z22" s="298"/>
      <c r="AA22" s="298"/>
      <c r="AB22" s="298"/>
      <c r="AC22" s="298">
        <v>0.48</v>
      </c>
      <c r="AD22" s="298">
        <v>1800</v>
      </c>
      <c r="AE22" s="298" t="s">
        <v>812</v>
      </c>
      <c r="AF22" s="298">
        <v>1013939</v>
      </c>
      <c r="AG22" s="298">
        <v>253218</v>
      </c>
      <c r="AH22" s="298">
        <v>1013912</v>
      </c>
      <c r="AI22" s="298">
        <v>253318</v>
      </c>
      <c r="AJ22" s="298"/>
      <c r="AK22" s="652">
        <v>2018</v>
      </c>
    </row>
    <row r="23" spans="1:37" s="679" customFormat="1" ht="60">
      <c r="A23" s="298">
        <v>17</v>
      </c>
      <c r="B23" s="674" t="s">
        <v>594</v>
      </c>
      <c r="C23" s="274" t="s">
        <v>1334</v>
      </c>
      <c r="D23" s="274" t="s">
        <v>1325</v>
      </c>
      <c r="E23" s="497" t="s">
        <v>591</v>
      </c>
      <c r="F23" s="330" t="s">
        <v>776</v>
      </c>
      <c r="G23" s="298" t="s">
        <v>902</v>
      </c>
      <c r="H23" s="298">
        <v>47.5</v>
      </c>
      <c r="I23" s="332">
        <v>1045</v>
      </c>
      <c r="J23" s="298" t="s">
        <v>903</v>
      </c>
      <c r="K23" s="330" t="s">
        <v>830</v>
      </c>
      <c r="L23" s="298" t="s">
        <v>904</v>
      </c>
      <c r="M23" s="298"/>
      <c r="N23" s="497" t="s">
        <v>586</v>
      </c>
      <c r="O23" s="298">
        <v>0.1</v>
      </c>
      <c r="P23" s="298"/>
      <c r="Q23" s="298"/>
      <c r="R23" s="298">
        <v>15</v>
      </c>
      <c r="S23" s="298">
        <v>56.73</v>
      </c>
      <c r="T23" s="298">
        <v>45</v>
      </c>
      <c r="U23" s="298"/>
      <c r="V23" s="298"/>
      <c r="W23" s="298">
        <v>11.73</v>
      </c>
      <c r="X23" s="298"/>
      <c r="Y23" s="298">
        <f>X23+W23+V23+U23+T23</f>
        <v>56.730000000000004</v>
      </c>
      <c r="Z23" s="298"/>
      <c r="AA23" s="298"/>
      <c r="AB23" s="298"/>
      <c r="AC23" s="298">
        <v>0.29</v>
      </c>
      <c r="AD23" s="298">
        <v>1600</v>
      </c>
      <c r="AE23" s="274" t="s">
        <v>812</v>
      </c>
      <c r="AF23" s="468">
        <v>1013357</v>
      </c>
      <c r="AG23" s="468">
        <v>25200428</v>
      </c>
      <c r="AH23" s="468">
        <v>1013558</v>
      </c>
      <c r="AI23" s="468">
        <v>252152</v>
      </c>
      <c r="AJ23" s="468"/>
      <c r="AK23" s="46">
        <v>2020</v>
      </c>
    </row>
    <row r="24" spans="1:36" s="679" customFormat="1" ht="45">
      <c r="A24" s="589">
        <v>18</v>
      </c>
      <c r="B24" s="674" t="s">
        <v>2638</v>
      </c>
      <c r="C24" s="274" t="s">
        <v>1334</v>
      </c>
      <c r="D24" s="274" t="s">
        <v>39</v>
      </c>
      <c r="E24" s="495" t="s">
        <v>584</v>
      </c>
      <c r="F24" s="682"/>
      <c r="G24" s="682"/>
      <c r="H24" s="682"/>
      <c r="I24" s="685"/>
      <c r="J24" s="298" t="s">
        <v>903</v>
      </c>
      <c r="K24" s="330" t="s">
        <v>830</v>
      </c>
      <c r="L24" s="298" t="s">
        <v>904</v>
      </c>
      <c r="M24" s="682"/>
      <c r="N24" s="497" t="s">
        <v>2639</v>
      </c>
      <c r="O24" s="298">
        <v>0.0738</v>
      </c>
      <c r="P24" s="682"/>
      <c r="Q24" s="682"/>
      <c r="R24" s="298">
        <v>35.2</v>
      </c>
      <c r="S24" s="686">
        <v>64.7</v>
      </c>
      <c r="T24" s="686">
        <v>8.03</v>
      </c>
      <c r="U24" s="686">
        <v>55.76</v>
      </c>
      <c r="V24" s="686"/>
      <c r="W24" s="686"/>
      <c r="X24" s="686">
        <v>0.91</v>
      </c>
      <c r="Y24" s="686">
        <f>X24+W24+V24+U24+T24</f>
        <v>64.69999999999999</v>
      </c>
      <c r="Z24" s="686">
        <v>0.2221</v>
      </c>
      <c r="AA24" s="686">
        <v>1.9803</v>
      </c>
      <c r="AB24" s="686"/>
      <c r="AC24" s="686"/>
      <c r="AD24" s="686">
        <v>3422</v>
      </c>
      <c r="AE24" s="686"/>
      <c r="AF24" s="686"/>
      <c r="AG24" s="686"/>
      <c r="AH24" s="686"/>
      <c r="AI24" s="686"/>
      <c r="AJ24" s="686"/>
    </row>
  </sheetData>
  <sheetProtection/>
  <mergeCells count="33">
    <mergeCell ref="O3:S3"/>
    <mergeCell ref="T3:AC3"/>
    <mergeCell ref="AD3:AD5"/>
    <mergeCell ref="M4:M5"/>
    <mergeCell ref="O4:O5"/>
    <mergeCell ref="P4:P5"/>
    <mergeCell ref="Q4:Q5"/>
    <mergeCell ref="E4:E5"/>
    <mergeCell ref="K3:K5"/>
    <mergeCell ref="L3:M3"/>
    <mergeCell ref="N3:N5"/>
    <mergeCell ref="G4:G5"/>
    <mergeCell ref="L4:L5"/>
    <mergeCell ref="J3:J5"/>
    <mergeCell ref="F4:F5"/>
    <mergeCell ref="A1:AJ1"/>
    <mergeCell ref="A3:A5"/>
    <mergeCell ref="B3:B5"/>
    <mergeCell ref="C3:G3"/>
    <mergeCell ref="H3:H5"/>
    <mergeCell ref="I3:I5"/>
    <mergeCell ref="R4:R5"/>
    <mergeCell ref="S4:S5"/>
    <mergeCell ref="C4:C5"/>
    <mergeCell ref="D4:D5"/>
    <mergeCell ref="AF3:AI3"/>
    <mergeCell ref="AJ3:AJ5"/>
    <mergeCell ref="T4:Y4"/>
    <mergeCell ref="Z4:AA4"/>
    <mergeCell ref="AB4:AC4"/>
    <mergeCell ref="AF4:AG4"/>
    <mergeCell ref="AH4:AI4"/>
    <mergeCell ref="AE3:AE5"/>
  </mergeCells>
  <conditionalFormatting sqref="A3:A5 AJ3:AJ5 AE5 AE3:AF4 C4:G4 B3:K3 Z5:AC5 AH4">
    <cfRule type="cellIs" priority="2" dxfId="6" operator="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landscape" paperSize="8"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K7"/>
  <sheetViews>
    <sheetView zoomScalePageLayoutView="0" workbookViewId="0" topLeftCell="A1">
      <selection activeCell="S16" sqref="S16"/>
    </sheetView>
  </sheetViews>
  <sheetFormatPr defaultColWidth="9.00390625" defaultRowHeight="13.5"/>
  <cols>
    <col min="1" max="1" width="5.25390625" style="0" customWidth="1"/>
    <col min="3" max="5" width="9.00390625" style="0" hidden="1" customWidth="1"/>
    <col min="6" max="7" width="6.25390625" style="0" hidden="1" customWidth="1"/>
    <col min="8" max="8" width="9.00390625" style="0" hidden="1" customWidth="1"/>
    <col min="9" max="9" width="5.375" style="0" hidden="1" customWidth="1"/>
    <col min="10" max="10" width="7.25390625" style="0" hidden="1" customWidth="1"/>
    <col min="11" max="15" width="9.00390625" style="0" hidden="1" customWidth="1"/>
    <col min="18" max="18" width="7.75390625" style="0" hidden="1" customWidth="1"/>
    <col min="19" max="19" width="7.25390625" style="0" customWidth="1"/>
    <col min="21" max="21" width="9.875" style="0" customWidth="1"/>
    <col min="22" max="22" width="9.00390625" style="0" hidden="1" customWidth="1"/>
    <col min="25" max="30" width="9.00390625" style="0" hidden="1" customWidth="1"/>
    <col min="34" max="34" width="9.00390625" style="0" hidden="1" customWidth="1"/>
  </cols>
  <sheetData>
    <row r="1" spans="1:37" ht="18.75">
      <c r="A1" s="721" t="s">
        <v>985</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row>
    <row r="3" spans="1:37" ht="13.5" customHeight="1">
      <c r="A3" s="695" t="s">
        <v>646</v>
      </c>
      <c r="B3" s="695" t="s">
        <v>937</v>
      </c>
      <c r="C3" s="695" t="s">
        <v>938</v>
      </c>
      <c r="D3" s="695"/>
      <c r="E3" s="695"/>
      <c r="F3" s="695"/>
      <c r="G3" s="695"/>
      <c r="H3" s="695" t="s">
        <v>972</v>
      </c>
      <c r="I3" s="695" t="s">
        <v>670</v>
      </c>
      <c r="J3" s="695" t="s">
        <v>939</v>
      </c>
      <c r="K3" s="727" t="s">
        <v>654</v>
      </c>
      <c r="L3" s="727"/>
      <c r="M3" s="732" t="s">
        <v>940</v>
      </c>
      <c r="N3" s="733"/>
      <c r="O3" s="733"/>
      <c r="P3" s="733"/>
      <c r="Q3" s="733"/>
      <c r="R3" s="733"/>
      <c r="S3" s="733"/>
      <c r="T3" s="733"/>
      <c r="U3" s="734"/>
      <c r="V3" s="733"/>
      <c r="W3" s="733"/>
      <c r="X3" s="733"/>
      <c r="Y3" s="735"/>
      <c r="Z3" s="727" t="s">
        <v>941</v>
      </c>
      <c r="AA3" s="727"/>
      <c r="AB3" s="727"/>
      <c r="AC3" s="727"/>
      <c r="AD3" s="727"/>
      <c r="AE3" s="727"/>
      <c r="AF3" s="727"/>
      <c r="AG3" s="727"/>
      <c r="AH3" s="727"/>
      <c r="AI3" s="727"/>
      <c r="AJ3" s="738" t="s">
        <v>970</v>
      </c>
      <c r="AK3" s="695" t="s">
        <v>693</v>
      </c>
    </row>
    <row r="4" spans="1:37" ht="13.5" customHeight="1">
      <c r="A4" s="695"/>
      <c r="B4" s="695"/>
      <c r="C4" s="695" t="s">
        <v>942</v>
      </c>
      <c r="D4" s="695" t="s">
        <v>943</v>
      </c>
      <c r="E4" s="695" t="s">
        <v>944</v>
      </c>
      <c r="F4" s="695" t="s">
        <v>663</v>
      </c>
      <c r="G4" s="695" t="s">
        <v>945</v>
      </c>
      <c r="H4" s="695"/>
      <c r="I4" s="695"/>
      <c r="J4" s="695"/>
      <c r="K4" s="727" t="s">
        <v>946</v>
      </c>
      <c r="L4" s="727" t="s">
        <v>947</v>
      </c>
      <c r="M4" s="695" t="s">
        <v>948</v>
      </c>
      <c r="N4" s="695" t="s">
        <v>949</v>
      </c>
      <c r="O4" s="695" t="s">
        <v>739</v>
      </c>
      <c r="P4" s="729" t="s">
        <v>980</v>
      </c>
      <c r="Q4" s="695" t="s">
        <v>982</v>
      </c>
      <c r="R4" s="695" t="s">
        <v>950</v>
      </c>
      <c r="S4" s="731" t="s">
        <v>975</v>
      </c>
      <c r="T4" s="728" t="s">
        <v>951</v>
      </c>
      <c r="U4" s="39" t="s">
        <v>983</v>
      </c>
      <c r="V4" s="736" t="s">
        <v>976</v>
      </c>
      <c r="W4" s="736"/>
      <c r="X4" s="736"/>
      <c r="Y4" s="737"/>
      <c r="Z4" s="727" t="s">
        <v>952</v>
      </c>
      <c r="AA4" s="727"/>
      <c r="AB4" s="727"/>
      <c r="AC4" s="727"/>
      <c r="AD4" s="727"/>
      <c r="AE4" s="727"/>
      <c r="AF4" s="727" t="s">
        <v>953</v>
      </c>
      <c r="AG4" s="727"/>
      <c r="AH4" s="727" t="s">
        <v>954</v>
      </c>
      <c r="AI4" s="727"/>
      <c r="AJ4" s="739"/>
      <c r="AK4" s="695"/>
    </row>
    <row r="5" spans="1:37" ht="24">
      <c r="A5" s="695"/>
      <c r="B5" s="695"/>
      <c r="C5" s="695"/>
      <c r="D5" s="695"/>
      <c r="E5" s="695"/>
      <c r="F5" s="695"/>
      <c r="G5" s="695"/>
      <c r="H5" s="695"/>
      <c r="I5" s="695"/>
      <c r="J5" s="695"/>
      <c r="K5" s="727"/>
      <c r="L5" s="727"/>
      <c r="M5" s="695"/>
      <c r="N5" s="695"/>
      <c r="O5" s="695"/>
      <c r="P5" s="730"/>
      <c r="Q5" s="695"/>
      <c r="R5" s="695"/>
      <c r="S5" s="731"/>
      <c r="T5" s="728"/>
      <c r="U5" s="40" t="s">
        <v>984</v>
      </c>
      <c r="V5" s="37" t="s">
        <v>977</v>
      </c>
      <c r="W5" s="31" t="s">
        <v>978</v>
      </c>
      <c r="X5" s="31" t="s">
        <v>979</v>
      </c>
      <c r="Y5" s="31" t="s">
        <v>981</v>
      </c>
      <c r="Z5" s="6" t="s">
        <v>955</v>
      </c>
      <c r="AA5" s="6" t="s">
        <v>956</v>
      </c>
      <c r="AB5" s="6" t="s">
        <v>957</v>
      </c>
      <c r="AC5" s="6" t="s">
        <v>958</v>
      </c>
      <c r="AD5" s="6" t="s">
        <v>701</v>
      </c>
      <c r="AE5" s="6" t="s">
        <v>959</v>
      </c>
      <c r="AF5" s="32" t="s">
        <v>960</v>
      </c>
      <c r="AG5" s="32" t="s">
        <v>961</v>
      </c>
      <c r="AH5" s="32" t="s">
        <v>962</v>
      </c>
      <c r="AI5" s="32" t="s">
        <v>963</v>
      </c>
      <c r="AJ5" s="740"/>
      <c r="AK5" s="695"/>
    </row>
    <row r="6" spans="1:37" ht="13.5">
      <c r="A6" s="34">
        <v>-1</v>
      </c>
      <c r="B6" s="34">
        <v>-2</v>
      </c>
      <c r="C6" s="34">
        <v>-3</v>
      </c>
      <c r="D6" s="34">
        <v>-4</v>
      </c>
      <c r="E6" s="34">
        <v>-5</v>
      </c>
      <c r="F6" s="34">
        <v>-6</v>
      </c>
      <c r="G6" s="34">
        <v>-7</v>
      </c>
      <c r="H6" s="34">
        <v>-8</v>
      </c>
      <c r="I6" s="34">
        <v>-9</v>
      </c>
      <c r="J6" s="34">
        <v>-10</v>
      </c>
      <c r="K6" s="34">
        <v>-11</v>
      </c>
      <c r="L6" s="34">
        <v>-12</v>
      </c>
      <c r="M6" s="34">
        <v>-13</v>
      </c>
      <c r="N6" s="34">
        <v>-14</v>
      </c>
      <c r="O6" s="34">
        <v>-15</v>
      </c>
      <c r="P6" s="34">
        <v>-16</v>
      </c>
      <c r="Q6" s="34">
        <v>-17</v>
      </c>
      <c r="R6" s="34">
        <v>-18</v>
      </c>
      <c r="S6" s="34">
        <v>-19</v>
      </c>
      <c r="T6" s="34">
        <v>-20</v>
      </c>
      <c r="U6" s="38"/>
      <c r="V6" s="34">
        <v>-21</v>
      </c>
      <c r="W6" s="34">
        <v>-22</v>
      </c>
      <c r="X6" s="34">
        <v>-23</v>
      </c>
      <c r="Y6" s="34">
        <v>-24</v>
      </c>
      <c r="Z6" s="34">
        <v>-25</v>
      </c>
      <c r="AA6" s="34">
        <v>-26</v>
      </c>
      <c r="AB6" s="34">
        <v>-27</v>
      </c>
      <c r="AC6" s="34">
        <v>-28</v>
      </c>
      <c r="AD6" s="34">
        <v>-29</v>
      </c>
      <c r="AE6" s="34">
        <v>-30</v>
      </c>
      <c r="AF6" s="34">
        <v>-31</v>
      </c>
      <c r="AG6" s="34">
        <v>-32</v>
      </c>
      <c r="AH6" s="34">
        <v>-33</v>
      </c>
      <c r="AI6" s="34">
        <v>-34</v>
      </c>
      <c r="AJ6" s="34">
        <v>-35</v>
      </c>
      <c r="AK6" s="34">
        <v>-37</v>
      </c>
    </row>
    <row r="7" spans="1:37" ht="72">
      <c r="A7" s="4">
        <v>1</v>
      </c>
      <c r="B7" s="35" t="s">
        <v>971</v>
      </c>
      <c r="C7" s="35" t="s">
        <v>964</v>
      </c>
      <c r="D7" s="35" t="s">
        <v>965</v>
      </c>
      <c r="E7" s="35" t="s">
        <v>966</v>
      </c>
      <c r="F7" s="35" t="s">
        <v>967</v>
      </c>
      <c r="G7" s="35" t="s">
        <v>716</v>
      </c>
      <c r="H7" s="35">
        <v>145</v>
      </c>
      <c r="I7" s="35" t="s">
        <v>903</v>
      </c>
      <c r="J7" s="35" t="s">
        <v>973</v>
      </c>
      <c r="K7" s="35" t="s">
        <v>974</v>
      </c>
      <c r="L7" s="3"/>
      <c r="M7" s="35" t="s">
        <v>968</v>
      </c>
      <c r="N7" s="35" t="s">
        <v>651</v>
      </c>
      <c r="O7" s="661" t="s">
        <v>775</v>
      </c>
      <c r="P7" s="661" t="s">
        <v>2625</v>
      </c>
      <c r="Q7" s="662" t="s">
        <v>595</v>
      </c>
      <c r="R7" s="35" t="s">
        <v>969</v>
      </c>
      <c r="S7" s="35">
        <v>3600</v>
      </c>
      <c r="T7" s="35">
        <v>2.28</v>
      </c>
      <c r="U7" s="35">
        <v>157.8</v>
      </c>
      <c r="V7" s="3"/>
      <c r="W7" s="35">
        <v>2.8</v>
      </c>
      <c r="X7" s="35">
        <v>155</v>
      </c>
      <c r="Z7" s="35">
        <v>255.52</v>
      </c>
      <c r="AA7" s="35">
        <v>494.48</v>
      </c>
      <c r="AB7" s="36">
        <v>1351</v>
      </c>
      <c r="AC7" s="35">
        <v>1499</v>
      </c>
      <c r="AD7" s="35"/>
      <c r="AE7" s="35">
        <f>Z7+AA7+AB7+AC7+AD7</f>
        <v>3600</v>
      </c>
      <c r="AF7" s="35">
        <v>5.4</v>
      </c>
      <c r="AG7" s="35">
        <v>10.45</v>
      </c>
      <c r="AH7" s="3"/>
      <c r="AI7" s="35">
        <v>9.52</v>
      </c>
      <c r="AJ7" s="35">
        <v>210100</v>
      </c>
      <c r="AK7" s="3"/>
    </row>
  </sheetData>
  <sheetProtection/>
  <mergeCells count="31">
    <mergeCell ref="A1:AK1"/>
    <mergeCell ref="A3:A5"/>
    <mergeCell ref="B3:B5"/>
    <mergeCell ref="C3:G3"/>
    <mergeCell ref="H3:H5"/>
    <mergeCell ref="V4:Y4"/>
    <mergeCell ref="Z3:AI3"/>
    <mergeCell ref="AJ3:AJ5"/>
    <mergeCell ref="AF4:AG4"/>
    <mergeCell ref="AH4:AI4"/>
    <mergeCell ref="M4:M5"/>
    <mergeCell ref="G4:G5"/>
    <mergeCell ref="R4:R5"/>
    <mergeCell ref="Z4:AE4"/>
    <mergeCell ref="I3:I5"/>
    <mergeCell ref="P4:P5"/>
    <mergeCell ref="AK3:AK5"/>
    <mergeCell ref="S4:S5"/>
    <mergeCell ref="O4:O5"/>
    <mergeCell ref="N4:N5"/>
    <mergeCell ref="M3:Y3"/>
    <mergeCell ref="K3:L3"/>
    <mergeCell ref="L4:L5"/>
    <mergeCell ref="K4:K5"/>
    <mergeCell ref="C4:C5"/>
    <mergeCell ref="D4:D5"/>
    <mergeCell ref="T4:T5"/>
    <mergeCell ref="Q4:Q5"/>
    <mergeCell ref="E4:E5"/>
    <mergeCell ref="F4:F5"/>
    <mergeCell ref="J3:J5"/>
  </mergeCells>
  <conditionalFormatting sqref="AK3:AK5 AF5:AI5 M3:M4 A3:A5 B3 H3:J3 C3:G4 N4:R4">
    <cfRule type="cellIs" priority="1" dxfId="7" operator="equal" stopIfTrue="1">
      <formula>0</formula>
    </cfRule>
  </conditionalFormatting>
  <printOptions horizontalCentered="1"/>
  <pageMargins left="0.35433070866141736" right="0.15748031496062992"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AC107"/>
  <sheetViews>
    <sheetView showZeros="0"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X9" sqref="X9"/>
    </sheetView>
  </sheetViews>
  <sheetFormatPr defaultColWidth="9.00390625" defaultRowHeight="13.5"/>
  <cols>
    <col min="1" max="1" width="4.625" style="679" customWidth="1"/>
    <col min="2" max="2" width="13.25390625" style="679" customWidth="1"/>
    <col min="3" max="4" width="9.00390625" style="679" customWidth="1"/>
    <col min="5" max="5" width="10.875" style="679" hidden="1" customWidth="1"/>
    <col min="6" max="7" width="0" style="679" hidden="1" customWidth="1"/>
    <col min="8" max="8" width="9.125" style="679" bestFit="1" customWidth="1"/>
    <col min="9" max="13" width="0" style="679" hidden="1" customWidth="1"/>
    <col min="14" max="16" width="9.125" style="679" hidden="1" customWidth="1"/>
    <col min="17" max="17" width="10.125" style="961" hidden="1" customWidth="1"/>
    <col min="18" max="23" width="9.125" style="679" hidden="1" customWidth="1"/>
    <col min="24" max="24" width="9.125" style="679" customWidth="1"/>
    <col min="25" max="25" width="7.625" style="679" customWidth="1"/>
    <col min="26" max="27" width="9.125" style="679" bestFit="1" customWidth="1"/>
    <col min="28" max="28" width="8.125" style="679" customWidth="1"/>
    <col min="29" max="29" width="7.875" style="679" customWidth="1"/>
    <col min="30" max="16384" width="9.00390625" style="679" customWidth="1"/>
  </cols>
  <sheetData>
    <row r="1" spans="1:29" ht="18.75">
      <c r="A1" s="920" t="s">
        <v>862</v>
      </c>
      <c r="B1" s="920"/>
      <c r="C1" s="920"/>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2"/>
    </row>
    <row r="2" spans="1:29" s="46" customFormat="1" ht="14.25" customHeight="1">
      <c r="A2" s="690" t="s">
        <v>807</v>
      </c>
      <c r="B2" s="690" t="s">
        <v>831</v>
      </c>
      <c r="C2" s="690" t="s">
        <v>863</v>
      </c>
      <c r="D2" s="690" t="s">
        <v>832</v>
      </c>
      <c r="E2" s="690" t="s">
        <v>853</v>
      </c>
      <c r="F2" s="690" t="s">
        <v>854</v>
      </c>
      <c r="G2" s="690" t="s">
        <v>855</v>
      </c>
      <c r="H2" s="690" t="s">
        <v>856</v>
      </c>
      <c r="I2" s="690" t="s">
        <v>857</v>
      </c>
      <c r="J2" s="690" t="s">
        <v>858</v>
      </c>
      <c r="K2" s="690" t="s">
        <v>859</v>
      </c>
      <c r="L2" s="690" t="s">
        <v>860</v>
      </c>
      <c r="M2" s="690" t="s">
        <v>861</v>
      </c>
      <c r="N2" s="690" t="s">
        <v>833</v>
      </c>
      <c r="O2" s="690"/>
      <c r="P2" s="690" t="s">
        <v>834</v>
      </c>
      <c r="Q2" s="690"/>
      <c r="R2" s="690" t="s">
        <v>835</v>
      </c>
      <c r="S2" s="690"/>
      <c r="T2" s="690"/>
      <c r="U2" s="923" t="s">
        <v>836</v>
      </c>
      <c r="V2" s="924"/>
      <c r="W2" s="924"/>
      <c r="X2" s="925"/>
      <c r="Y2" s="923" t="s">
        <v>837</v>
      </c>
      <c r="Z2" s="924"/>
      <c r="AA2" s="924"/>
      <c r="AB2" s="924"/>
      <c r="AC2" s="925"/>
    </row>
    <row r="3" spans="1:29" s="46" customFormat="1" ht="60">
      <c r="A3" s="690"/>
      <c r="B3" s="690"/>
      <c r="C3" s="690"/>
      <c r="D3" s="690"/>
      <c r="E3" s="690"/>
      <c r="F3" s="690"/>
      <c r="G3" s="690"/>
      <c r="H3" s="690"/>
      <c r="I3" s="690"/>
      <c r="J3" s="690"/>
      <c r="K3" s="690"/>
      <c r="L3" s="690"/>
      <c r="M3" s="690"/>
      <c r="N3" s="660" t="s">
        <v>838</v>
      </c>
      <c r="O3" s="660" t="s">
        <v>839</v>
      </c>
      <c r="P3" s="660" t="s">
        <v>840</v>
      </c>
      <c r="Q3" s="7" t="s">
        <v>841</v>
      </c>
      <c r="R3" s="660" t="s">
        <v>840</v>
      </c>
      <c r="S3" s="660" t="s">
        <v>842</v>
      </c>
      <c r="T3" s="660" t="s">
        <v>843</v>
      </c>
      <c r="U3" s="660" t="s">
        <v>844</v>
      </c>
      <c r="V3" s="660" t="s">
        <v>845</v>
      </c>
      <c r="W3" s="660" t="s">
        <v>846</v>
      </c>
      <c r="X3" s="660" t="s">
        <v>847</v>
      </c>
      <c r="Y3" s="660" t="s">
        <v>848</v>
      </c>
      <c r="Z3" s="660" t="s">
        <v>849</v>
      </c>
      <c r="AA3" s="660" t="s">
        <v>850</v>
      </c>
      <c r="AB3" s="660" t="s">
        <v>851</v>
      </c>
      <c r="AC3" s="926" t="s">
        <v>852</v>
      </c>
    </row>
    <row r="4" spans="1:29" s="931" customFormat="1" ht="18" customHeight="1">
      <c r="A4" s="927">
        <v>1</v>
      </c>
      <c r="B4" s="655" t="s">
        <v>2132</v>
      </c>
      <c r="C4" s="215" t="s">
        <v>2161</v>
      </c>
      <c r="D4" s="215" t="s">
        <v>2234</v>
      </c>
      <c r="E4" s="215">
        <v>1968</v>
      </c>
      <c r="F4" s="215"/>
      <c r="G4" s="215"/>
      <c r="H4" s="215">
        <v>18</v>
      </c>
      <c r="I4" s="62"/>
      <c r="J4" s="62"/>
      <c r="K4" s="62"/>
      <c r="L4" s="62"/>
      <c r="M4" s="62"/>
      <c r="N4" s="211">
        <v>12.2</v>
      </c>
      <c r="O4" s="211">
        <v>0.5</v>
      </c>
      <c r="P4" s="928">
        <v>320</v>
      </c>
      <c r="Q4" s="929">
        <v>3400</v>
      </c>
      <c r="R4" s="928">
        <v>170</v>
      </c>
      <c r="S4" s="928">
        <v>560</v>
      </c>
      <c r="T4" s="928">
        <v>12.2</v>
      </c>
      <c r="U4" s="928">
        <v>219.6</v>
      </c>
      <c r="V4" s="928">
        <v>36.8</v>
      </c>
      <c r="W4" s="928">
        <v>24.09</v>
      </c>
      <c r="X4" s="928">
        <v>280.48999999999995</v>
      </c>
      <c r="Y4" s="928">
        <v>12.2</v>
      </c>
      <c r="Z4" s="928">
        <v>14.639999999999999</v>
      </c>
      <c r="AA4" s="928">
        <v>0.03</v>
      </c>
      <c r="AB4" s="928">
        <v>60</v>
      </c>
      <c r="AC4" s="930">
        <v>0</v>
      </c>
    </row>
    <row r="5" spans="1:29" s="931" customFormat="1" ht="18" customHeight="1">
      <c r="A5" s="927">
        <v>2</v>
      </c>
      <c r="B5" s="655" t="s">
        <v>2133</v>
      </c>
      <c r="C5" s="215" t="s">
        <v>2162</v>
      </c>
      <c r="D5" s="215" t="s">
        <v>2234</v>
      </c>
      <c r="E5" s="215">
        <v>1958</v>
      </c>
      <c r="F5" s="215"/>
      <c r="G5" s="215"/>
      <c r="H5" s="215">
        <v>12</v>
      </c>
      <c r="I5" s="62"/>
      <c r="J5" s="62"/>
      <c r="K5" s="62"/>
      <c r="L5" s="62"/>
      <c r="M5" s="62"/>
      <c r="N5" s="211">
        <v>6.6</v>
      </c>
      <c r="O5" s="211">
        <v>0.4</v>
      </c>
      <c r="P5" s="928">
        <v>430</v>
      </c>
      <c r="Q5" s="929">
        <v>2500</v>
      </c>
      <c r="R5" s="928">
        <v>150</v>
      </c>
      <c r="S5" s="928">
        <v>480</v>
      </c>
      <c r="T5" s="928">
        <v>6.6</v>
      </c>
      <c r="U5" s="928">
        <v>118.8</v>
      </c>
      <c r="V5" s="928">
        <v>32.9</v>
      </c>
      <c r="W5" s="928">
        <v>20.79</v>
      </c>
      <c r="X5" s="928">
        <v>172.48999999999998</v>
      </c>
      <c r="Y5" s="928">
        <v>6.6</v>
      </c>
      <c r="Z5" s="928">
        <v>7.919999999999999</v>
      </c>
      <c r="AA5" s="928">
        <v>0.02</v>
      </c>
      <c r="AB5" s="928">
        <v>48</v>
      </c>
      <c r="AC5" s="930">
        <v>0</v>
      </c>
    </row>
    <row r="6" spans="1:29" s="931" customFormat="1" ht="18" customHeight="1">
      <c r="A6" s="927">
        <v>3</v>
      </c>
      <c r="B6" s="655" t="s">
        <v>2134</v>
      </c>
      <c r="C6" s="215" t="s">
        <v>2163</v>
      </c>
      <c r="D6" s="215" t="s">
        <v>2234</v>
      </c>
      <c r="E6" s="215">
        <v>1998</v>
      </c>
      <c r="F6" s="215"/>
      <c r="G6" s="215"/>
      <c r="H6" s="215">
        <v>28.08</v>
      </c>
      <c r="I6" s="62"/>
      <c r="J6" s="62"/>
      <c r="K6" s="62"/>
      <c r="L6" s="62"/>
      <c r="M6" s="62"/>
      <c r="N6" s="211">
        <v>5.3</v>
      </c>
      <c r="O6" s="211">
        <v>0.6</v>
      </c>
      <c r="P6" s="928">
        <v>380</v>
      </c>
      <c r="Q6" s="929">
        <v>3000</v>
      </c>
      <c r="R6" s="928">
        <v>210</v>
      </c>
      <c r="S6" s="928">
        <v>400</v>
      </c>
      <c r="T6" s="928">
        <v>5.3</v>
      </c>
      <c r="U6" s="928">
        <v>95.39999999999999</v>
      </c>
      <c r="V6" s="928">
        <v>35.4</v>
      </c>
      <c r="W6" s="928">
        <v>20.130000000000003</v>
      </c>
      <c r="X6" s="928">
        <v>150.92999999999998</v>
      </c>
      <c r="Y6" s="928">
        <v>5.3</v>
      </c>
      <c r="Z6" s="928">
        <v>6.359999999999999</v>
      </c>
      <c r="AA6" s="928">
        <v>0.02</v>
      </c>
      <c r="AB6" s="928">
        <v>42</v>
      </c>
      <c r="AC6" s="930">
        <v>0</v>
      </c>
    </row>
    <row r="7" spans="1:29" s="931" customFormat="1" ht="18" customHeight="1">
      <c r="A7" s="927">
        <v>4</v>
      </c>
      <c r="B7" s="655" t="s">
        <v>2135</v>
      </c>
      <c r="C7" s="215" t="s">
        <v>2164</v>
      </c>
      <c r="D7" s="215" t="s">
        <v>2234</v>
      </c>
      <c r="E7" s="215">
        <v>1965</v>
      </c>
      <c r="F7" s="215"/>
      <c r="G7" s="215"/>
      <c r="H7" s="215">
        <v>24.5</v>
      </c>
      <c r="I7" s="62"/>
      <c r="J7" s="62"/>
      <c r="K7" s="62"/>
      <c r="L7" s="62"/>
      <c r="M7" s="62"/>
      <c r="N7" s="211">
        <v>7.15</v>
      </c>
      <c r="O7" s="211">
        <v>1</v>
      </c>
      <c r="P7" s="928">
        <v>290</v>
      </c>
      <c r="Q7" s="929">
        <v>4500</v>
      </c>
      <c r="R7" s="928">
        <v>180</v>
      </c>
      <c r="S7" s="928">
        <v>520</v>
      </c>
      <c r="T7" s="928">
        <v>7.15</v>
      </c>
      <c r="U7" s="928">
        <v>128.70000000000002</v>
      </c>
      <c r="V7" s="928">
        <v>44.7</v>
      </c>
      <c r="W7" s="928">
        <v>23.1</v>
      </c>
      <c r="X7" s="928">
        <v>196.50000000000003</v>
      </c>
      <c r="Y7" s="928">
        <v>7.15</v>
      </c>
      <c r="Z7" s="928">
        <v>8.58</v>
      </c>
      <c r="AA7" s="928">
        <v>0.05</v>
      </c>
      <c r="AB7" s="928">
        <v>64</v>
      </c>
      <c r="AC7" s="930">
        <v>0</v>
      </c>
    </row>
    <row r="8" spans="1:29" s="931" customFormat="1" ht="18" customHeight="1">
      <c r="A8" s="927">
        <v>5</v>
      </c>
      <c r="B8" s="655" t="s">
        <v>2136</v>
      </c>
      <c r="C8" s="215" t="s">
        <v>2165</v>
      </c>
      <c r="D8" s="215" t="s">
        <v>2234</v>
      </c>
      <c r="E8" s="215">
        <v>1981</v>
      </c>
      <c r="F8" s="215"/>
      <c r="G8" s="215"/>
      <c r="H8" s="215">
        <v>32.79</v>
      </c>
      <c r="I8" s="62"/>
      <c r="J8" s="62"/>
      <c r="K8" s="62"/>
      <c r="L8" s="62"/>
      <c r="M8" s="62"/>
      <c r="N8" s="211">
        <v>8.6</v>
      </c>
      <c r="O8" s="211">
        <v>1</v>
      </c>
      <c r="P8" s="928">
        <v>440</v>
      </c>
      <c r="Q8" s="929">
        <v>5200</v>
      </c>
      <c r="R8" s="928">
        <v>240</v>
      </c>
      <c r="S8" s="928">
        <v>490</v>
      </c>
      <c r="T8" s="928">
        <v>8.6</v>
      </c>
      <c r="U8" s="928">
        <v>154.79999999999998</v>
      </c>
      <c r="V8" s="928">
        <v>54.8</v>
      </c>
      <c r="W8" s="928">
        <v>24.09</v>
      </c>
      <c r="X8" s="928">
        <v>233.68999999999997</v>
      </c>
      <c r="Y8" s="928">
        <v>8.6</v>
      </c>
      <c r="Z8" s="928">
        <v>10.319999999999999</v>
      </c>
      <c r="AA8" s="928">
        <v>0.08</v>
      </c>
      <c r="AB8" s="928">
        <v>58</v>
      </c>
      <c r="AC8" s="930">
        <v>0</v>
      </c>
    </row>
    <row r="9" spans="1:29" s="931" customFormat="1" ht="18" customHeight="1">
      <c r="A9" s="927">
        <v>6</v>
      </c>
      <c r="B9" s="655" t="s">
        <v>2137</v>
      </c>
      <c r="C9" s="215" t="s">
        <v>2166</v>
      </c>
      <c r="D9" s="215" t="s">
        <v>2234</v>
      </c>
      <c r="E9" s="215">
        <v>1963</v>
      </c>
      <c r="F9" s="215"/>
      <c r="G9" s="215"/>
      <c r="H9" s="215">
        <v>10</v>
      </c>
      <c r="I9" s="62"/>
      <c r="J9" s="62"/>
      <c r="K9" s="62"/>
      <c r="L9" s="62"/>
      <c r="M9" s="62"/>
      <c r="N9" s="211">
        <v>4.39</v>
      </c>
      <c r="O9" s="211">
        <v>0.8</v>
      </c>
      <c r="P9" s="928">
        <v>360</v>
      </c>
      <c r="Q9" s="929">
        <v>2700</v>
      </c>
      <c r="R9" s="928">
        <v>220</v>
      </c>
      <c r="S9" s="928">
        <v>460</v>
      </c>
      <c r="T9" s="928">
        <v>4.39</v>
      </c>
      <c r="U9" s="928">
        <v>79.02</v>
      </c>
      <c r="V9" s="928">
        <v>32.4</v>
      </c>
      <c r="W9" s="928">
        <v>22.44</v>
      </c>
      <c r="X9" s="928">
        <v>133.85999999999999</v>
      </c>
      <c r="Y9" s="928">
        <v>4.39</v>
      </c>
      <c r="Z9" s="928">
        <v>5.268</v>
      </c>
      <c r="AA9" s="928">
        <v>0.02</v>
      </c>
      <c r="AB9" s="928">
        <v>35</v>
      </c>
      <c r="AC9" s="930">
        <v>0</v>
      </c>
    </row>
    <row r="10" spans="1:29" s="931" customFormat="1" ht="18" customHeight="1">
      <c r="A10" s="927">
        <v>7</v>
      </c>
      <c r="B10" s="655" t="s">
        <v>2237</v>
      </c>
      <c r="C10" s="215" t="s">
        <v>2169</v>
      </c>
      <c r="D10" s="215" t="s">
        <v>2234</v>
      </c>
      <c r="E10" s="215">
        <v>1979</v>
      </c>
      <c r="F10" s="215"/>
      <c r="G10" s="215"/>
      <c r="H10" s="215">
        <v>22</v>
      </c>
      <c r="I10" s="62"/>
      <c r="J10" s="62"/>
      <c r="K10" s="62"/>
      <c r="L10" s="62"/>
      <c r="M10" s="62"/>
      <c r="N10" s="211">
        <v>5.974285714285714</v>
      </c>
      <c r="O10" s="211">
        <v>3.5</v>
      </c>
      <c r="P10" s="928">
        <v>1941.642857142857</v>
      </c>
      <c r="Q10" s="929">
        <v>716.9142857142857</v>
      </c>
      <c r="R10" s="928">
        <v>597.4285714285714</v>
      </c>
      <c r="S10" s="928">
        <v>179.22857142857143</v>
      </c>
      <c r="T10" s="928">
        <v>1.0542857142857143</v>
      </c>
      <c r="U10" s="928">
        <v>179.22857142857143</v>
      </c>
      <c r="V10" s="928">
        <v>63.9846</v>
      </c>
      <c r="W10" s="928">
        <v>25.629685714285714</v>
      </c>
      <c r="X10" s="928">
        <v>268.84285714285716</v>
      </c>
      <c r="Y10" s="928">
        <v>5.974285714285714</v>
      </c>
      <c r="Z10" s="928">
        <v>7.169142857142857</v>
      </c>
      <c r="AA10" s="928">
        <v>0.02176190476190476</v>
      </c>
      <c r="AB10" s="928">
        <v>9.370314842578711</v>
      </c>
      <c r="AC10" s="930">
        <v>3.162857142857143</v>
      </c>
    </row>
    <row r="11" spans="1:29" s="931" customFormat="1" ht="18" customHeight="1">
      <c r="A11" s="927">
        <v>8</v>
      </c>
      <c r="B11" s="655" t="s">
        <v>2238</v>
      </c>
      <c r="C11" s="215" t="s">
        <v>2171</v>
      </c>
      <c r="D11" s="215" t="s">
        <v>2234</v>
      </c>
      <c r="E11" s="215">
        <v>1958</v>
      </c>
      <c r="F11" s="215"/>
      <c r="G11" s="215"/>
      <c r="H11" s="215">
        <v>10</v>
      </c>
      <c r="I11" s="62"/>
      <c r="J11" s="62"/>
      <c r="K11" s="62"/>
      <c r="L11" s="62"/>
      <c r="M11" s="62"/>
      <c r="N11" s="211">
        <v>2.9173214285714284</v>
      </c>
      <c r="O11" s="211">
        <v>3</v>
      </c>
      <c r="P11" s="928">
        <v>948.1294642857142</v>
      </c>
      <c r="Q11" s="929">
        <v>350.0785714285714</v>
      </c>
      <c r="R11" s="928">
        <v>291.73214285714283</v>
      </c>
      <c r="S11" s="928">
        <v>87.51964285714284</v>
      </c>
      <c r="T11" s="928">
        <v>0.5148214285714285</v>
      </c>
      <c r="U11" s="928">
        <v>87.51964285714286</v>
      </c>
      <c r="V11" s="928">
        <v>31.2445125</v>
      </c>
      <c r="W11" s="928">
        <v>12.515308928571429</v>
      </c>
      <c r="X11" s="928">
        <v>131.27946428571428</v>
      </c>
      <c r="Y11" s="928">
        <v>2.9173214285714284</v>
      </c>
      <c r="Z11" s="928">
        <v>3.500785714285714</v>
      </c>
      <c r="AA11" s="928">
        <v>0.01144047619047619</v>
      </c>
      <c r="AB11" s="928">
        <v>5.354465624330692</v>
      </c>
      <c r="AC11" s="930">
        <v>1.5444642857142856</v>
      </c>
    </row>
    <row r="12" spans="1:29" s="931" customFormat="1" ht="18" customHeight="1">
      <c r="A12" s="927">
        <v>9</v>
      </c>
      <c r="B12" s="655" t="s">
        <v>2239</v>
      </c>
      <c r="C12" s="215" t="s">
        <v>2171</v>
      </c>
      <c r="D12" s="215" t="s">
        <v>2234</v>
      </c>
      <c r="E12" s="215">
        <v>1962</v>
      </c>
      <c r="F12" s="215"/>
      <c r="G12" s="215"/>
      <c r="H12" s="215">
        <v>37.44</v>
      </c>
      <c r="I12" s="62"/>
      <c r="J12" s="62"/>
      <c r="K12" s="62"/>
      <c r="L12" s="62"/>
      <c r="M12" s="62"/>
      <c r="N12" s="211">
        <v>8.343076923076923</v>
      </c>
      <c r="O12" s="211">
        <v>3.5</v>
      </c>
      <c r="P12" s="928">
        <v>2711.5000000000005</v>
      </c>
      <c r="Q12" s="929">
        <v>1001.1692307692307</v>
      </c>
      <c r="R12" s="928">
        <v>834.3076923076924</v>
      </c>
      <c r="S12" s="928">
        <v>250.2923076923077</v>
      </c>
      <c r="T12" s="928">
        <v>1.4723076923076923</v>
      </c>
      <c r="U12" s="928">
        <v>250.2923076923077</v>
      </c>
      <c r="V12" s="928">
        <v>89.35435384615386</v>
      </c>
      <c r="W12" s="928">
        <v>35.7918</v>
      </c>
      <c r="X12" s="928">
        <v>375.4384615384616</v>
      </c>
      <c r="Y12" s="928">
        <v>8.343076923076923</v>
      </c>
      <c r="Z12" s="928">
        <v>10.011692307692307</v>
      </c>
      <c r="AA12" s="928">
        <v>0.03271794871794872</v>
      </c>
      <c r="AB12" s="928">
        <v>18.343769291824675</v>
      </c>
      <c r="AC12" s="930">
        <v>4.4169230769230765</v>
      </c>
    </row>
    <row r="13" spans="1:29" s="931" customFormat="1" ht="18" customHeight="1">
      <c r="A13" s="927">
        <v>10</v>
      </c>
      <c r="B13" s="655" t="s">
        <v>1386</v>
      </c>
      <c r="C13" s="215" t="s">
        <v>2172</v>
      </c>
      <c r="D13" s="215" t="s">
        <v>2234</v>
      </c>
      <c r="E13" s="215">
        <v>1956</v>
      </c>
      <c r="F13" s="215"/>
      <c r="G13" s="215"/>
      <c r="H13" s="215">
        <v>42.5</v>
      </c>
      <c r="I13" s="62"/>
      <c r="J13" s="62"/>
      <c r="K13" s="62"/>
      <c r="L13" s="62"/>
      <c r="M13" s="62"/>
      <c r="N13" s="211">
        <v>10.786206896551723</v>
      </c>
      <c r="O13" s="211">
        <v>4</v>
      </c>
      <c r="P13" s="928">
        <v>3505.5172413793102</v>
      </c>
      <c r="Q13" s="929">
        <v>1294.3448275862067</v>
      </c>
      <c r="R13" s="928">
        <v>1078.6206896551723</v>
      </c>
      <c r="S13" s="928">
        <v>323.5862068965517</v>
      </c>
      <c r="T13" s="928">
        <v>1.903448275862069</v>
      </c>
      <c r="U13" s="928">
        <v>323.5862068965517</v>
      </c>
      <c r="V13" s="928">
        <v>115.52027586206896</v>
      </c>
      <c r="W13" s="928">
        <v>46.272827586206894</v>
      </c>
      <c r="X13" s="928">
        <v>485.37931034482756</v>
      </c>
      <c r="Y13" s="928">
        <v>10.786206896551723</v>
      </c>
      <c r="Z13" s="928">
        <v>12.943448275862067</v>
      </c>
      <c r="AA13" s="928">
        <v>0.04229885057471264</v>
      </c>
      <c r="AB13" s="928">
        <v>20.687708094004947</v>
      </c>
      <c r="AC13" s="930">
        <v>5.710344827586207</v>
      </c>
    </row>
    <row r="14" spans="1:29" s="931" customFormat="1" ht="18" customHeight="1">
      <c r="A14" s="927">
        <v>11</v>
      </c>
      <c r="B14" s="655" t="s">
        <v>1387</v>
      </c>
      <c r="C14" s="215" t="s">
        <v>2172</v>
      </c>
      <c r="D14" s="215" t="s">
        <v>2234</v>
      </c>
      <c r="E14" s="215">
        <v>1992</v>
      </c>
      <c r="F14" s="215"/>
      <c r="G14" s="215"/>
      <c r="H14" s="215">
        <v>25.63</v>
      </c>
      <c r="I14" s="62"/>
      <c r="J14" s="62"/>
      <c r="K14" s="62"/>
      <c r="L14" s="62"/>
      <c r="M14" s="62"/>
      <c r="N14" s="211">
        <v>3.7863636363636366</v>
      </c>
      <c r="O14" s="211">
        <v>3</v>
      </c>
      <c r="P14" s="928">
        <v>1230.568181818182</v>
      </c>
      <c r="Q14" s="929">
        <v>454.3636363636364</v>
      </c>
      <c r="R14" s="928">
        <v>378.6363636363637</v>
      </c>
      <c r="S14" s="928">
        <v>113.59090909090911</v>
      </c>
      <c r="T14" s="928">
        <v>0.6681818181818182</v>
      </c>
      <c r="U14" s="928">
        <v>113.5909090909091</v>
      </c>
      <c r="V14" s="928">
        <v>40.55195454545455</v>
      </c>
      <c r="W14" s="928">
        <v>16.2435</v>
      </c>
      <c r="X14" s="928">
        <v>170.38636363636365</v>
      </c>
      <c r="Y14" s="928">
        <v>3.7863636363636366</v>
      </c>
      <c r="Z14" s="928">
        <v>4.543636363636364</v>
      </c>
      <c r="AA14" s="928">
        <v>0.01484848484848485</v>
      </c>
      <c r="AB14" s="928">
        <v>10.274274627392186</v>
      </c>
      <c r="AC14" s="930">
        <v>2.004545454545455</v>
      </c>
    </row>
    <row r="15" spans="1:29" s="936" customFormat="1" ht="18" customHeight="1">
      <c r="A15" s="927">
        <v>12</v>
      </c>
      <c r="B15" s="655" t="s">
        <v>2138</v>
      </c>
      <c r="C15" s="215" t="s">
        <v>2174</v>
      </c>
      <c r="D15" s="215" t="s">
        <v>2235</v>
      </c>
      <c r="E15" s="215">
        <v>1956</v>
      </c>
      <c r="F15" s="932"/>
      <c r="G15" s="932"/>
      <c r="H15" s="215">
        <v>1120</v>
      </c>
      <c r="I15" s="933"/>
      <c r="J15" s="934"/>
      <c r="K15" s="933"/>
      <c r="L15" s="933"/>
      <c r="M15" s="933"/>
      <c r="N15" s="935">
        <v>200</v>
      </c>
      <c r="O15" s="935">
        <v>12</v>
      </c>
      <c r="P15" s="928">
        <v>2000</v>
      </c>
      <c r="Q15" s="929">
        <v>5000</v>
      </c>
      <c r="R15" s="928">
        <v>6000</v>
      </c>
      <c r="S15" s="928">
        <v>800</v>
      </c>
      <c r="T15" s="928">
        <v>60</v>
      </c>
      <c r="U15" s="928">
        <v>4000</v>
      </c>
      <c r="V15" s="928">
        <v>280</v>
      </c>
      <c r="W15" s="928">
        <v>928</v>
      </c>
      <c r="X15" s="928">
        <v>5208</v>
      </c>
      <c r="Y15" s="928">
        <v>200</v>
      </c>
      <c r="Z15" s="928">
        <v>240</v>
      </c>
      <c r="AA15" s="928">
        <v>0.2</v>
      </c>
      <c r="AB15" s="928">
        <v>200</v>
      </c>
      <c r="AC15" s="928">
        <v>50</v>
      </c>
    </row>
    <row r="16" spans="1:29" s="936" customFormat="1" ht="18" customHeight="1">
      <c r="A16" s="927">
        <v>13</v>
      </c>
      <c r="B16" s="655" t="s">
        <v>2139</v>
      </c>
      <c r="C16" s="215" t="s">
        <v>2176</v>
      </c>
      <c r="D16" s="215" t="s">
        <v>2236</v>
      </c>
      <c r="E16" s="215">
        <v>1953</v>
      </c>
      <c r="F16" s="932"/>
      <c r="G16" s="932"/>
      <c r="H16" s="215">
        <v>144</v>
      </c>
      <c r="I16" s="933"/>
      <c r="J16" s="934"/>
      <c r="K16" s="933"/>
      <c r="L16" s="933"/>
      <c r="M16" s="933"/>
      <c r="N16" s="935">
        <v>45</v>
      </c>
      <c r="O16" s="935">
        <v>15</v>
      </c>
      <c r="P16" s="928">
        <v>800</v>
      </c>
      <c r="Q16" s="929">
        <v>2000</v>
      </c>
      <c r="R16" s="928">
        <v>4000</v>
      </c>
      <c r="S16" s="928">
        <v>600</v>
      </c>
      <c r="T16" s="928">
        <v>15</v>
      </c>
      <c r="U16" s="928">
        <v>900</v>
      </c>
      <c r="V16" s="928">
        <v>168</v>
      </c>
      <c r="W16" s="928">
        <v>246</v>
      </c>
      <c r="X16" s="928">
        <v>1314</v>
      </c>
      <c r="Y16" s="928">
        <v>45</v>
      </c>
      <c r="Z16" s="928">
        <v>54</v>
      </c>
      <c r="AA16" s="928">
        <v>0.08</v>
      </c>
      <c r="AB16" s="928">
        <v>80</v>
      </c>
      <c r="AC16" s="928">
        <v>15</v>
      </c>
    </row>
    <row r="17" spans="1:29" s="936" customFormat="1" ht="18" customHeight="1">
      <c r="A17" s="927">
        <v>14</v>
      </c>
      <c r="B17" s="655" t="s">
        <v>2140</v>
      </c>
      <c r="C17" s="215" t="s">
        <v>2177</v>
      </c>
      <c r="D17" s="215" t="s">
        <v>2236</v>
      </c>
      <c r="E17" s="215">
        <v>1957</v>
      </c>
      <c r="F17" s="932"/>
      <c r="G17" s="932"/>
      <c r="H17" s="215">
        <v>295</v>
      </c>
      <c r="I17" s="933"/>
      <c r="J17" s="934"/>
      <c r="K17" s="933"/>
      <c r="L17" s="933"/>
      <c r="M17" s="933"/>
      <c r="N17" s="935">
        <v>150</v>
      </c>
      <c r="O17" s="935">
        <v>15</v>
      </c>
      <c r="P17" s="928">
        <v>1800</v>
      </c>
      <c r="Q17" s="929">
        <v>6000</v>
      </c>
      <c r="R17" s="928">
        <v>5500</v>
      </c>
      <c r="S17" s="928">
        <v>700</v>
      </c>
      <c r="T17" s="928">
        <v>25</v>
      </c>
      <c r="U17" s="928">
        <v>3000</v>
      </c>
      <c r="V17" s="928">
        <v>255.5</v>
      </c>
      <c r="W17" s="928">
        <v>399.5</v>
      </c>
      <c r="X17" s="928">
        <v>3655</v>
      </c>
      <c r="Y17" s="928">
        <v>150</v>
      </c>
      <c r="Z17" s="928">
        <v>180</v>
      </c>
      <c r="AA17" s="928">
        <v>0.15</v>
      </c>
      <c r="AB17" s="928">
        <v>120</v>
      </c>
      <c r="AC17" s="928">
        <v>30</v>
      </c>
    </row>
    <row r="18" spans="1:29" s="936" customFormat="1" ht="18" customHeight="1">
      <c r="A18" s="927">
        <v>15</v>
      </c>
      <c r="B18" s="655" t="s">
        <v>2141</v>
      </c>
      <c r="C18" s="215" t="s">
        <v>2178</v>
      </c>
      <c r="D18" s="215" t="s">
        <v>2236</v>
      </c>
      <c r="E18" s="215">
        <v>1957</v>
      </c>
      <c r="F18" s="932"/>
      <c r="G18" s="937"/>
      <c r="H18" s="215">
        <v>206</v>
      </c>
      <c r="I18" s="933"/>
      <c r="J18" s="934"/>
      <c r="K18" s="933"/>
      <c r="L18" s="933"/>
      <c r="M18" s="933"/>
      <c r="N18" s="935">
        <v>30</v>
      </c>
      <c r="O18" s="935">
        <v>12</v>
      </c>
      <c r="P18" s="928">
        <v>700</v>
      </c>
      <c r="Q18" s="929">
        <v>4000</v>
      </c>
      <c r="R18" s="928">
        <v>5000</v>
      </c>
      <c r="S18" s="928">
        <v>650</v>
      </c>
      <c r="T18" s="928">
        <v>15</v>
      </c>
      <c r="U18" s="928">
        <v>600</v>
      </c>
      <c r="V18" s="928">
        <v>199.5</v>
      </c>
      <c r="W18" s="928">
        <v>247.75</v>
      </c>
      <c r="X18" s="928">
        <v>1047.25</v>
      </c>
      <c r="Y18" s="928">
        <v>30</v>
      </c>
      <c r="Z18" s="928">
        <v>36</v>
      </c>
      <c r="AA18" s="928">
        <v>0.07</v>
      </c>
      <c r="AB18" s="928">
        <v>150</v>
      </c>
      <c r="AC18" s="928">
        <v>10</v>
      </c>
    </row>
    <row r="19" spans="1:29" s="936" customFormat="1" ht="18" customHeight="1">
      <c r="A19" s="927">
        <v>16</v>
      </c>
      <c r="B19" s="655" t="s">
        <v>2142</v>
      </c>
      <c r="C19" s="215" t="s">
        <v>2181</v>
      </c>
      <c r="D19" s="215" t="s">
        <v>2236</v>
      </c>
      <c r="E19" s="215">
        <v>1957</v>
      </c>
      <c r="F19" s="932"/>
      <c r="G19" s="932"/>
      <c r="H19" s="215">
        <v>282</v>
      </c>
      <c r="I19" s="933"/>
      <c r="J19" s="934"/>
      <c r="K19" s="933"/>
      <c r="L19" s="933"/>
      <c r="M19" s="933"/>
      <c r="N19" s="935">
        <v>120</v>
      </c>
      <c r="O19" s="935">
        <v>10</v>
      </c>
      <c r="P19" s="928">
        <v>1500</v>
      </c>
      <c r="Q19" s="929">
        <v>5000</v>
      </c>
      <c r="R19" s="928">
        <v>5200</v>
      </c>
      <c r="S19" s="928">
        <v>680</v>
      </c>
      <c r="T19" s="928">
        <v>20</v>
      </c>
      <c r="U19" s="928">
        <v>2400</v>
      </c>
      <c r="V19" s="928">
        <v>234.5</v>
      </c>
      <c r="W19" s="928">
        <v>323.8</v>
      </c>
      <c r="X19" s="928">
        <v>2958.3</v>
      </c>
      <c r="Y19" s="928">
        <v>120</v>
      </c>
      <c r="Z19" s="928">
        <v>144</v>
      </c>
      <c r="AA19" s="928">
        <v>0.15</v>
      </c>
      <c r="AB19" s="928">
        <v>200</v>
      </c>
      <c r="AC19" s="928">
        <v>20</v>
      </c>
    </row>
    <row r="20" spans="1:29" s="936" customFormat="1" ht="18" customHeight="1">
      <c r="A20" s="927">
        <v>17</v>
      </c>
      <c r="B20" s="655" t="s">
        <v>2143</v>
      </c>
      <c r="C20" s="215" t="s">
        <v>2179</v>
      </c>
      <c r="D20" s="215" t="s">
        <v>2236</v>
      </c>
      <c r="E20" s="215">
        <v>1963</v>
      </c>
      <c r="F20" s="932"/>
      <c r="G20" s="932"/>
      <c r="H20" s="215">
        <v>240</v>
      </c>
      <c r="I20" s="933"/>
      <c r="J20" s="934"/>
      <c r="K20" s="933"/>
      <c r="L20" s="933"/>
      <c r="M20" s="933"/>
      <c r="N20" s="935">
        <v>30</v>
      </c>
      <c r="O20" s="935">
        <v>15</v>
      </c>
      <c r="P20" s="928">
        <v>2500</v>
      </c>
      <c r="Q20" s="929">
        <v>4000</v>
      </c>
      <c r="R20" s="928">
        <v>4000</v>
      </c>
      <c r="S20" s="928">
        <v>800</v>
      </c>
      <c r="T20" s="928">
        <v>18</v>
      </c>
      <c r="U20" s="928">
        <v>750</v>
      </c>
      <c r="V20" s="928">
        <v>87.5</v>
      </c>
      <c r="W20" s="928">
        <v>410</v>
      </c>
      <c r="X20" s="928">
        <v>1247.5</v>
      </c>
      <c r="Y20" s="928">
        <v>30</v>
      </c>
      <c r="Z20" s="928">
        <v>36</v>
      </c>
      <c r="AA20" s="928">
        <v>0.09</v>
      </c>
      <c r="AB20" s="928">
        <v>100</v>
      </c>
      <c r="AC20" s="928">
        <v>15</v>
      </c>
    </row>
    <row r="21" spans="1:29" s="936" customFormat="1" ht="18" customHeight="1">
      <c r="A21" s="927">
        <v>18</v>
      </c>
      <c r="B21" s="655" t="s">
        <v>2144</v>
      </c>
      <c r="C21" s="215" t="s">
        <v>2186</v>
      </c>
      <c r="D21" s="215" t="s">
        <v>2234</v>
      </c>
      <c r="E21" s="932">
        <v>1966</v>
      </c>
      <c r="F21" s="932"/>
      <c r="G21" s="932"/>
      <c r="H21" s="938">
        <v>12.5</v>
      </c>
      <c r="I21" s="933"/>
      <c r="J21" s="934"/>
      <c r="K21" s="933"/>
      <c r="L21" s="933"/>
      <c r="M21" s="933"/>
      <c r="N21" s="935">
        <v>5.2</v>
      </c>
      <c r="O21" s="935">
        <v>0.8</v>
      </c>
      <c r="P21" s="928">
        <v>63</v>
      </c>
      <c r="Q21" s="929"/>
      <c r="R21" s="928"/>
      <c r="S21" s="928"/>
      <c r="T21" s="928"/>
      <c r="U21" s="928">
        <v>93.60000000000001</v>
      </c>
      <c r="V21" s="928">
        <v>1.89</v>
      </c>
      <c r="W21" s="928">
        <v>0</v>
      </c>
      <c r="X21" s="928">
        <v>95.49000000000001</v>
      </c>
      <c r="Y21" s="928">
        <v>5.2</v>
      </c>
      <c r="Z21" s="928">
        <v>6.24</v>
      </c>
      <c r="AA21" s="928">
        <v>0.013</v>
      </c>
      <c r="AB21" s="928"/>
      <c r="AC21" s="930"/>
    </row>
    <row r="22" spans="1:29" s="936" customFormat="1" ht="18" customHeight="1">
      <c r="A22" s="927">
        <v>19</v>
      </c>
      <c r="B22" s="655" t="s">
        <v>2145</v>
      </c>
      <c r="C22" s="215" t="s">
        <v>2286</v>
      </c>
      <c r="D22" s="215" t="s">
        <v>2234</v>
      </c>
      <c r="E22" s="932">
        <v>1959</v>
      </c>
      <c r="F22" s="932"/>
      <c r="G22" s="932"/>
      <c r="H22" s="938">
        <v>60</v>
      </c>
      <c r="I22" s="933"/>
      <c r="J22" s="934"/>
      <c r="K22" s="933"/>
      <c r="L22" s="933"/>
      <c r="M22" s="933"/>
      <c r="N22" s="935">
        <v>22.35</v>
      </c>
      <c r="O22" s="935">
        <v>1</v>
      </c>
      <c r="P22" s="928">
        <v>112.5</v>
      </c>
      <c r="Q22" s="929"/>
      <c r="R22" s="928"/>
      <c r="S22" s="928"/>
      <c r="T22" s="928"/>
      <c r="U22" s="928">
        <v>402.3</v>
      </c>
      <c r="V22" s="928">
        <v>3.375</v>
      </c>
      <c r="W22" s="928">
        <v>0</v>
      </c>
      <c r="X22" s="928">
        <v>405.675</v>
      </c>
      <c r="Y22" s="928">
        <v>22.35</v>
      </c>
      <c r="Z22" s="928">
        <v>26.82</v>
      </c>
      <c r="AA22" s="928">
        <v>0.0559</v>
      </c>
      <c r="AB22" s="928"/>
      <c r="AC22" s="930"/>
    </row>
    <row r="23" spans="1:29" s="936" customFormat="1" ht="18" customHeight="1">
      <c r="A23" s="927">
        <v>20</v>
      </c>
      <c r="B23" s="655" t="s">
        <v>2146</v>
      </c>
      <c r="C23" s="215" t="s">
        <v>2287</v>
      </c>
      <c r="D23" s="215" t="s">
        <v>2234</v>
      </c>
      <c r="E23" s="932">
        <v>1960</v>
      </c>
      <c r="F23" s="932"/>
      <c r="G23" s="932"/>
      <c r="H23" s="938">
        <v>10</v>
      </c>
      <c r="I23" s="933"/>
      <c r="J23" s="934"/>
      <c r="K23" s="933"/>
      <c r="L23" s="933"/>
      <c r="M23" s="933"/>
      <c r="N23" s="935">
        <v>4.16</v>
      </c>
      <c r="O23" s="935">
        <v>0.85</v>
      </c>
      <c r="P23" s="928">
        <v>60</v>
      </c>
      <c r="Q23" s="929"/>
      <c r="R23" s="928"/>
      <c r="S23" s="928"/>
      <c r="T23" s="928"/>
      <c r="U23" s="928">
        <v>74.88</v>
      </c>
      <c r="V23" s="928">
        <v>1.8</v>
      </c>
      <c r="W23" s="928">
        <v>0</v>
      </c>
      <c r="X23" s="928">
        <v>76.67999999999999</v>
      </c>
      <c r="Y23" s="928">
        <v>4.16</v>
      </c>
      <c r="Z23" s="928">
        <v>4.992</v>
      </c>
      <c r="AA23" s="928">
        <v>0.0104</v>
      </c>
      <c r="AB23" s="928"/>
      <c r="AC23" s="930"/>
    </row>
    <row r="24" spans="1:29" s="931" customFormat="1" ht="18" customHeight="1">
      <c r="A24" s="927">
        <v>21</v>
      </c>
      <c r="B24" s="655" t="s">
        <v>2147</v>
      </c>
      <c r="C24" s="215" t="s">
        <v>2264</v>
      </c>
      <c r="D24" s="215" t="s">
        <v>2234</v>
      </c>
      <c r="E24" s="939" t="s">
        <v>2288</v>
      </c>
      <c r="F24" s="939"/>
      <c r="G24" s="215"/>
      <c r="H24" s="215">
        <v>12</v>
      </c>
      <c r="I24" s="62"/>
      <c r="J24" s="62"/>
      <c r="K24" s="62"/>
      <c r="L24" s="62"/>
      <c r="M24" s="62"/>
      <c r="N24" s="211">
        <v>3.8</v>
      </c>
      <c r="O24" s="211">
        <v>0.8</v>
      </c>
      <c r="P24" s="928">
        <v>58</v>
      </c>
      <c r="Q24" s="929"/>
      <c r="R24" s="928"/>
      <c r="S24" s="928"/>
      <c r="T24" s="928"/>
      <c r="U24" s="928">
        <v>68.39999999999999</v>
      </c>
      <c r="V24" s="928">
        <v>1.74</v>
      </c>
      <c r="W24" s="928">
        <v>0</v>
      </c>
      <c r="X24" s="928">
        <v>70.13999999999999</v>
      </c>
      <c r="Y24" s="928">
        <v>3.8</v>
      </c>
      <c r="Z24" s="928">
        <v>4.56</v>
      </c>
      <c r="AA24" s="928">
        <v>0.0095</v>
      </c>
      <c r="AB24" s="928"/>
      <c r="AC24" s="930"/>
    </row>
    <row r="25" spans="1:29" s="931" customFormat="1" ht="18" customHeight="1">
      <c r="A25" s="927">
        <v>22</v>
      </c>
      <c r="B25" s="655" t="s">
        <v>2148</v>
      </c>
      <c r="C25" s="215" t="s">
        <v>2289</v>
      </c>
      <c r="D25" s="215" t="s">
        <v>2234</v>
      </c>
      <c r="E25" s="939" t="s">
        <v>2290</v>
      </c>
      <c r="F25" s="939"/>
      <c r="G25" s="215"/>
      <c r="H25" s="215">
        <v>40</v>
      </c>
      <c r="I25" s="62"/>
      <c r="J25" s="62"/>
      <c r="K25" s="62"/>
      <c r="L25" s="62"/>
      <c r="M25" s="62"/>
      <c r="N25" s="211">
        <v>13</v>
      </c>
      <c r="O25" s="211">
        <v>0.3</v>
      </c>
      <c r="P25" s="928">
        <v>100</v>
      </c>
      <c r="Q25" s="929">
        <v>0</v>
      </c>
      <c r="R25" s="928">
        <v>100</v>
      </c>
      <c r="S25" s="928">
        <v>200</v>
      </c>
      <c r="T25" s="928">
        <v>0.1</v>
      </c>
      <c r="U25" s="928">
        <v>234</v>
      </c>
      <c r="V25" s="928">
        <v>3</v>
      </c>
      <c r="W25" s="928">
        <v>9.9</v>
      </c>
      <c r="X25" s="928">
        <v>246.9</v>
      </c>
      <c r="Y25" s="928">
        <v>13</v>
      </c>
      <c r="Z25" s="928">
        <v>15.6</v>
      </c>
      <c r="AA25" s="928">
        <v>0.005</v>
      </c>
      <c r="AB25" s="928">
        <v>10</v>
      </c>
      <c r="AC25" s="930">
        <v>2</v>
      </c>
    </row>
    <row r="26" spans="1:29" s="931" customFormat="1" ht="18" customHeight="1">
      <c r="A26" s="927">
        <v>23</v>
      </c>
      <c r="B26" s="655" t="s">
        <v>2149</v>
      </c>
      <c r="C26" s="215" t="s">
        <v>2242</v>
      </c>
      <c r="D26" s="215" t="s">
        <v>2234</v>
      </c>
      <c r="E26" s="215">
        <v>1970</v>
      </c>
      <c r="F26" s="939"/>
      <c r="G26" s="215"/>
      <c r="H26" s="215">
        <v>14.9</v>
      </c>
      <c r="I26" s="62"/>
      <c r="J26" s="62"/>
      <c r="K26" s="62"/>
      <c r="L26" s="62"/>
      <c r="M26" s="62"/>
      <c r="N26" s="211">
        <v>7</v>
      </c>
      <c r="O26" s="211">
        <v>1</v>
      </c>
      <c r="P26" s="928">
        <v>530</v>
      </c>
      <c r="Q26" s="929">
        <v>0</v>
      </c>
      <c r="R26" s="928">
        <v>0</v>
      </c>
      <c r="S26" s="928">
        <v>0</v>
      </c>
      <c r="T26" s="928">
        <v>0</v>
      </c>
      <c r="U26" s="928">
        <v>126</v>
      </c>
      <c r="V26" s="928">
        <v>15.9</v>
      </c>
      <c r="W26" s="928">
        <v>0</v>
      </c>
      <c r="X26" s="928">
        <v>141.9</v>
      </c>
      <c r="Y26" s="928">
        <v>7</v>
      </c>
      <c r="Z26" s="928">
        <v>8.4</v>
      </c>
      <c r="AA26" s="928">
        <v>0.018</v>
      </c>
      <c r="AB26" s="928">
        <v>0</v>
      </c>
      <c r="AC26" s="930">
        <v>0</v>
      </c>
    </row>
    <row r="27" spans="1:29" s="931" customFormat="1" ht="18" customHeight="1">
      <c r="A27" s="927">
        <v>24</v>
      </c>
      <c r="B27" s="655" t="s">
        <v>2150</v>
      </c>
      <c r="C27" s="215" t="s">
        <v>2243</v>
      </c>
      <c r="D27" s="215" t="s">
        <v>2234</v>
      </c>
      <c r="E27" s="215">
        <v>1957</v>
      </c>
      <c r="F27" s="939"/>
      <c r="G27" s="215"/>
      <c r="H27" s="215">
        <v>12</v>
      </c>
      <c r="I27" s="62"/>
      <c r="J27" s="62"/>
      <c r="K27" s="62"/>
      <c r="L27" s="62"/>
      <c r="M27" s="62"/>
      <c r="N27" s="211">
        <v>5.5</v>
      </c>
      <c r="O27" s="211">
        <v>2</v>
      </c>
      <c r="P27" s="928">
        <v>300</v>
      </c>
      <c r="Q27" s="929">
        <v>0</v>
      </c>
      <c r="R27" s="928">
        <v>0</v>
      </c>
      <c r="S27" s="928">
        <v>0</v>
      </c>
      <c r="T27" s="928">
        <v>0</v>
      </c>
      <c r="U27" s="928">
        <v>99</v>
      </c>
      <c r="V27" s="928">
        <v>9</v>
      </c>
      <c r="W27" s="928">
        <v>0</v>
      </c>
      <c r="X27" s="928">
        <v>108</v>
      </c>
      <c r="Y27" s="928">
        <v>5.5</v>
      </c>
      <c r="Z27" s="928">
        <v>6.6</v>
      </c>
      <c r="AA27" s="928">
        <v>0.012</v>
      </c>
      <c r="AB27" s="928">
        <v>0</v>
      </c>
      <c r="AC27" s="930">
        <v>0</v>
      </c>
    </row>
    <row r="28" spans="1:29" s="931" customFormat="1" ht="18" customHeight="1">
      <c r="A28" s="927">
        <v>25</v>
      </c>
      <c r="B28" s="655" t="s">
        <v>2151</v>
      </c>
      <c r="C28" s="215" t="s">
        <v>2244</v>
      </c>
      <c r="D28" s="215" t="s">
        <v>2234</v>
      </c>
      <c r="E28" s="215">
        <v>1951</v>
      </c>
      <c r="F28" s="939"/>
      <c r="G28" s="215"/>
      <c r="H28" s="215">
        <v>10</v>
      </c>
      <c r="I28" s="62"/>
      <c r="J28" s="62"/>
      <c r="K28" s="62"/>
      <c r="L28" s="62"/>
      <c r="M28" s="62"/>
      <c r="N28" s="211">
        <v>3</v>
      </c>
      <c r="O28" s="211">
        <v>1.5</v>
      </c>
      <c r="P28" s="928">
        <v>601</v>
      </c>
      <c r="Q28" s="929">
        <v>0</v>
      </c>
      <c r="R28" s="928">
        <v>0</v>
      </c>
      <c r="S28" s="928">
        <v>0</v>
      </c>
      <c r="T28" s="928">
        <v>0</v>
      </c>
      <c r="U28" s="928">
        <v>54</v>
      </c>
      <c r="V28" s="928">
        <v>18.03</v>
      </c>
      <c r="W28" s="928">
        <v>0</v>
      </c>
      <c r="X28" s="928">
        <v>72.03</v>
      </c>
      <c r="Y28" s="928">
        <v>3</v>
      </c>
      <c r="Z28" s="928">
        <v>3.5999999999999996</v>
      </c>
      <c r="AA28" s="928">
        <v>0.008</v>
      </c>
      <c r="AB28" s="928">
        <v>0</v>
      </c>
      <c r="AC28" s="930">
        <v>0</v>
      </c>
    </row>
    <row r="29" spans="1:29" s="931" customFormat="1" ht="18" customHeight="1">
      <c r="A29" s="927">
        <v>26</v>
      </c>
      <c r="B29" s="655" t="s">
        <v>1617</v>
      </c>
      <c r="C29" s="215" t="s">
        <v>2245</v>
      </c>
      <c r="D29" s="215" t="s">
        <v>2234</v>
      </c>
      <c r="E29" s="939" t="s">
        <v>2291</v>
      </c>
      <c r="F29" s="939"/>
      <c r="G29" s="215"/>
      <c r="H29" s="215">
        <v>24.57</v>
      </c>
      <c r="I29" s="62"/>
      <c r="J29" s="62"/>
      <c r="K29" s="62"/>
      <c r="L29" s="62"/>
      <c r="M29" s="62"/>
      <c r="N29" s="211">
        <v>3.41</v>
      </c>
      <c r="O29" s="211">
        <v>2</v>
      </c>
      <c r="P29" s="928">
        <v>156</v>
      </c>
      <c r="Q29" s="929"/>
      <c r="R29" s="928"/>
      <c r="S29" s="928"/>
      <c r="T29" s="940"/>
      <c r="U29" s="928">
        <v>61.38</v>
      </c>
      <c r="V29" s="928">
        <v>4.68</v>
      </c>
      <c r="W29" s="928">
        <v>0</v>
      </c>
      <c r="X29" s="928">
        <v>66.06</v>
      </c>
      <c r="Y29" s="928">
        <v>3.41</v>
      </c>
      <c r="Z29" s="928">
        <v>4.092</v>
      </c>
      <c r="AA29" s="928">
        <v>0.009</v>
      </c>
      <c r="AB29" s="928"/>
      <c r="AC29" s="930"/>
    </row>
    <row r="30" spans="1:29" s="931" customFormat="1" ht="18" customHeight="1">
      <c r="A30" s="927">
        <v>27</v>
      </c>
      <c r="B30" s="655" t="s">
        <v>2152</v>
      </c>
      <c r="C30" s="941" t="s">
        <v>2246</v>
      </c>
      <c r="D30" s="215" t="s">
        <v>2234</v>
      </c>
      <c r="E30" s="939">
        <v>1981</v>
      </c>
      <c r="F30" s="939"/>
      <c r="G30" s="215"/>
      <c r="H30" s="215">
        <v>21.5</v>
      </c>
      <c r="I30" s="62"/>
      <c r="J30" s="62"/>
      <c r="K30" s="62"/>
      <c r="L30" s="62"/>
      <c r="M30" s="62"/>
      <c r="N30" s="211">
        <v>11.7</v>
      </c>
      <c r="O30" s="211">
        <v>0.5</v>
      </c>
      <c r="P30" s="928">
        <v>320</v>
      </c>
      <c r="Q30" s="929">
        <v>3400</v>
      </c>
      <c r="R30" s="928">
        <v>170</v>
      </c>
      <c r="S30" s="928">
        <v>560</v>
      </c>
      <c r="T30" s="928">
        <v>11.7</v>
      </c>
      <c r="U30" s="928">
        <v>210.6</v>
      </c>
      <c r="V30" s="928">
        <v>36.8</v>
      </c>
      <c r="W30" s="928">
        <v>24.09</v>
      </c>
      <c r="X30" s="928">
        <v>271.48999999999995</v>
      </c>
      <c r="Y30" s="928">
        <v>11.7</v>
      </c>
      <c r="Z30" s="928">
        <v>14.04</v>
      </c>
      <c r="AA30" s="928">
        <v>0.03</v>
      </c>
      <c r="AB30" s="928">
        <v>60</v>
      </c>
      <c r="AC30" s="930"/>
    </row>
    <row r="31" spans="1:29" s="931" customFormat="1" ht="18" customHeight="1">
      <c r="A31" s="927">
        <v>28</v>
      </c>
      <c r="B31" s="655" t="s">
        <v>2153</v>
      </c>
      <c r="C31" s="941" t="s">
        <v>2246</v>
      </c>
      <c r="D31" s="215" t="s">
        <v>2234</v>
      </c>
      <c r="E31" s="939" t="s">
        <v>2247</v>
      </c>
      <c r="F31" s="939"/>
      <c r="G31" s="215"/>
      <c r="H31" s="215">
        <v>32.5</v>
      </c>
      <c r="I31" s="62"/>
      <c r="J31" s="62"/>
      <c r="K31" s="62"/>
      <c r="L31" s="62"/>
      <c r="M31" s="62"/>
      <c r="N31" s="211">
        <v>8.8</v>
      </c>
      <c r="O31" s="211">
        <v>0.4</v>
      </c>
      <c r="P31" s="928">
        <v>430</v>
      </c>
      <c r="Q31" s="929">
        <v>2500</v>
      </c>
      <c r="R31" s="928">
        <v>150</v>
      </c>
      <c r="S31" s="928">
        <v>480</v>
      </c>
      <c r="T31" s="928">
        <v>8.8</v>
      </c>
      <c r="U31" s="928">
        <v>158.4</v>
      </c>
      <c r="V31" s="928">
        <v>32.9</v>
      </c>
      <c r="W31" s="928">
        <v>20.79</v>
      </c>
      <c r="X31" s="928">
        <v>212.09</v>
      </c>
      <c r="Y31" s="928">
        <v>8.8</v>
      </c>
      <c r="Z31" s="928">
        <v>10.56</v>
      </c>
      <c r="AA31" s="928">
        <v>0.02</v>
      </c>
      <c r="AB31" s="928">
        <v>48</v>
      </c>
      <c r="AC31" s="930"/>
    </row>
    <row r="32" spans="1:29" s="931" customFormat="1" ht="18" customHeight="1">
      <c r="A32" s="927">
        <v>29</v>
      </c>
      <c r="B32" s="655" t="s">
        <v>2154</v>
      </c>
      <c r="C32" s="215" t="s">
        <v>2248</v>
      </c>
      <c r="D32" s="215" t="s">
        <v>2234</v>
      </c>
      <c r="E32" s="939" t="s">
        <v>2292</v>
      </c>
      <c r="F32" s="939"/>
      <c r="G32" s="215"/>
      <c r="H32" s="215">
        <v>16.9</v>
      </c>
      <c r="I32" s="62"/>
      <c r="J32" s="62"/>
      <c r="K32" s="62"/>
      <c r="L32" s="62"/>
      <c r="M32" s="62"/>
      <c r="N32" s="211">
        <v>9.25</v>
      </c>
      <c r="O32" s="211">
        <v>1</v>
      </c>
      <c r="P32" s="928">
        <v>290</v>
      </c>
      <c r="Q32" s="929">
        <v>4500</v>
      </c>
      <c r="R32" s="928">
        <v>180</v>
      </c>
      <c r="S32" s="928">
        <v>520</v>
      </c>
      <c r="T32" s="928">
        <v>9.25</v>
      </c>
      <c r="U32" s="928">
        <v>166.5</v>
      </c>
      <c r="V32" s="928">
        <v>44.7</v>
      </c>
      <c r="W32" s="928">
        <v>23.1</v>
      </c>
      <c r="X32" s="928">
        <v>234.29999999999998</v>
      </c>
      <c r="Y32" s="928">
        <v>9.25</v>
      </c>
      <c r="Z32" s="928">
        <v>11.1</v>
      </c>
      <c r="AA32" s="928">
        <v>0.05</v>
      </c>
      <c r="AB32" s="928">
        <v>64</v>
      </c>
      <c r="AC32" s="930"/>
    </row>
    <row r="33" spans="1:29" s="931" customFormat="1" ht="18" customHeight="1">
      <c r="A33" s="927">
        <v>30</v>
      </c>
      <c r="B33" s="655" t="s">
        <v>2155</v>
      </c>
      <c r="C33" s="941" t="s">
        <v>1427</v>
      </c>
      <c r="D33" s="215" t="s">
        <v>2234</v>
      </c>
      <c r="E33" s="939" t="s">
        <v>2293</v>
      </c>
      <c r="F33" s="939"/>
      <c r="G33" s="215"/>
      <c r="H33" s="215">
        <v>12</v>
      </c>
      <c r="I33" s="62"/>
      <c r="J33" s="62"/>
      <c r="K33" s="62"/>
      <c r="L33" s="62"/>
      <c r="M33" s="62"/>
      <c r="N33" s="211">
        <v>6.24</v>
      </c>
      <c r="O33" s="211">
        <v>0.5</v>
      </c>
      <c r="P33" s="928">
        <v>310</v>
      </c>
      <c r="Q33" s="929">
        <v>3500</v>
      </c>
      <c r="R33" s="928">
        <v>260</v>
      </c>
      <c r="S33" s="928">
        <v>450</v>
      </c>
      <c r="T33" s="928">
        <v>6.24</v>
      </c>
      <c r="U33" s="928">
        <v>112.32000000000001</v>
      </c>
      <c r="V33" s="928">
        <v>37.3</v>
      </c>
      <c r="W33" s="928">
        <v>23.430000000000003</v>
      </c>
      <c r="X33" s="928">
        <v>173.05</v>
      </c>
      <c r="Y33" s="928">
        <v>6.24</v>
      </c>
      <c r="Z33" s="928">
        <v>7.4879999999999995</v>
      </c>
      <c r="AA33" s="928">
        <v>0.03</v>
      </c>
      <c r="AB33" s="928">
        <v>38</v>
      </c>
      <c r="AC33" s="930"/>
    </row>
    <row r="34" spans="1:29" s="931" customFormat="1" ht="18" customHeight="1">
      <c r="A34" s="927">
        <v>31</v>
      </c>
      <c r="B34" s="655" t="s">
        <v>1429</v>
      </c>
      <c r="C34" s="941" t="s">
        <v>805</v>
      </c>
      <c r="D34" s="215" t="s">
        <v>2234</v>
      </c>
      <c r="E34" s="939" t="s">
        <v>2294</v>
      </c>
      <c r="F34" s="939"/>
      <c r="G34" s="215"/>
      <c r="H34" s="215">
        <v>23.8</v>
      </c>
      <c r="I34" s="62"/>
      <c r="J34" s="62"/>
      <c r="K34" s="62"/>
      <c r="L34" s="62"/>
      <c r="M34" s="62"/>
      <c r="N34" s="211">
        <v>10</v>
      </c>
      <c r="O34" s="211">
        <v>0.5</v>
      </c>
      <c r="P34" s="928">
        <v>340</v>
      </c>
      <c r="Q34" s="929">
        <v>3000</v>
      </c>
      <c r="R34" s="928">
        <v>260</v>
      </c>
      <c r="S34" s="928">
        <v>470</v>
      </c>
      <c r="T34" s="928">
        <v>10</v>
      </c>
      <c r="U34" s="928">
        <v>180</v>
      </c>
      <c r="V34" s="928">
        <v>34.2</v>
      </c>
      <c r="W34" s="928">
        <v>24.09</v>
      </c>
      <c r="X34" s="928">
        <v>238.29</v>
      </c>
      <c r="Y34" s="928">
        <v>10</v>
      </c>
      <c r="Z34" s="928">
        <v>12</v>
      </c>
      <c r="AA34" s="928">
        <v>0.02</v>
      </c>
      <c r="AB34" s="928">
        <v>36</v>
      </c>
      <c r="AC34" s="930"/>
    </row>
    <row r="35" spans="1:29" s="931" customFormat="1" ht="18" customHeight="1">
      <c r="A35" s="927">
        <v>32</v>
      </c>
      <c r="B35" s="942" t="s">
        <v>2156</v>
      </c>
      <c r="C35" s="215" t="s">
        <v>2249</v>
      </c>
      <c r="D35" s="215" t="s">
        <v>2234</v>
      </c>
      <c r="E35" s="215">
        <v>1968</v>
      </c>
      <c r="F35" s="939"/>
      <c r="G35" s="215"/>
      <c r="H35" s="941">
        <v>21</v>
      </c>
      <c r="I35" s="215"/>
      <c r="J35" s="215"/>
      <c r="K35" s="215"/>
      <c r="L35" s="215"/>
      <c r="M35" s="215"/>
      <c r="N35" s="928">
        <v>15.46</v>
      </c>
      <c r="O35" s="928">
        <v>1.1</v>
      </c>
      <c r="P35" s="928">
        <v>320</v>
      </c>
      <c r="Q35" s="929">
        <v>1500</v>
      </c>
      <c r="R35" s="928">
        <v>210</v>
      </c>
      <c r="S35" s="928">
        <v>450</v>
      </c>
      <c r="T35" s="928">
        <v>15.46</v>
      </c>
      <c r="U35" s="928">
        <v>278.28000000000003</v>
      </c>
      <c r="V35" s="928">
        <v>21.6</v>
      </c>
      <c r="W35" s="928">
        <v>21.78</v>
      </c>
      <c r="X35" s="928">
        <v>321.6600000000001</v>
      </c>
      <c r="Y35" s="928">
        <v>15.46</v>
      </c>
      <c r="Z35" s="928">
        <v>18.552</v>
      </c>
      <c r="AA35" s="928">
        <v>0.051533333333333334</v>
      </c>
      <c r="AB35" s="928"/>
      <c r="AC35" s="930">
        <v>25</v>
      </c>
    </row>
    <row r="36" spans="1:29" s="931" customFormat="1" ht="18" customHeight="1">
      <c r="A36" s="927">
        <v>33</v>
      </c>
      <c r="B36" s="942" t="s">
        <v>2157</v>
      </c>
      <c r="C36" s="215" t="s">
        <v>2249</v>
      </c>
      <c r="D36" s="215" t="s">
        <v>2234</v>
      </c>
      <c r="E36" s="215">
        <v>1959</v>
      </c>
      <c r="F36" s="939"/>
      <c r="G36" s="215"/>
      <c r="H36" s="941">
        <v>24</v>
      </c>
      <c r="I36" s="215"/>
      <c r="J36" s="215"/>
      <c r="K36" s="215"/>
      <c r="L36" s="215"/>
      <c r="M36" s="215"/>
      <c r="N36" s="928">
        <v>14.62</v>
      </c>
      <c r="O36" s="928">
        <v>0.8</v>
      </c>
      <c r="P36" s="928">
        <v>370</v>
      </c>
      <c r="Q36" s="929">
        <v>2450</v>
      </c>
      <c r="R36" s="928">
        <v>250</v>
      </c>
      <c r="S36" s="928">
        <v>385</v>
      </c>
      <c r="T36" s="928">
        <v>16.46</v>
      </c>
      <c r="U36" s="928">
        <v>263.15999999999997</v>
      </c>
      <c r="V36" s="928">
        <v>30.7</v>
      </c>
      <c r="W36" s="928">
        <v>20.955000000000002</v>
      </c>
      <c r="X36" s="928">
        <v>314.81499999999994</v>
      </c>
      <c r="Y36" s="928">
        <v>14.62</v>
      </c>
      <c r="Z36" s="928">
        <v>17.543999999999997</v>
      </c>
      <c r="AA36" s="928">
        <v>0.04873333333333333</v>
      </c>
      <c r="AB36" s="928">
        <v>35</v>
      </c>
      <c r="AC36" s="930">
        <v>38</v>
      </c>
    </row>
    <row r="37" spans="1:29" s="931" customFormat="1" ht="18" customHeight="1">
      <c r="A37" s="927">
        <v>34</v>
      </c>
      <c r="B37" s="942" t="s">
        <v>2158</v>
      </c>
      <c r="C37" s="215" t="s">
        <v>2295</v>
      </c>
      <c r="D37" s="215" t="s">
        <v>2234</v>
      </c>
      <c r="E37" s="939" t="s">
        <v>2277</v>
      </c>
      <c r="F37" s="939"/>
      <c r="G37" s="215"/>
      <c r="H37" s="215">
        <v>18</v>
      </c>
      <c r="I37" s="215"/>
      <c r="J37" s="215"/>
      <c r="K37" s="215"/>
      <c r="L37" s="215"/>
      <c r="M37" s="215"/>
      <c r="N37" s="928">
        <v>12.96</v>
      </c>
      <c r="O37" s="928">
        <v>0.8</v>
      </c>
      <c r="P37" s="928">
        <v>356</v>
      </c>
      <c r="Q37" s="929">
        <v>1750</v>
      </c>
      <c r="R37" s="928">
        <v>210</v>
      </c>
      <c r="S37" s="928">
        <v>412</v>
      </c>
      <c r="T37" s="928">
        <v>17.46</v>
      </c>
      <c r="U37" s="928">
        <v>233.28000000000003</v>
      </c>
      <c r="V37" s="928">
        <v>24.68</v>
      </c>
      <c r="W37" s="928">
        <v>20.526000000000003</v>
      </c>
      <c r="X37" s="928">
        <v>278.48600000000005</v>
      </c>
      <c r="Y37" s="928">
        <v>12.96</v>
      </c>
      <c r="Z37" s="928">
        <v>15.552</v>
      </c>
      <c r="AA37" s="928">
        <v>0.0432</v>
      </c>
      <c r="AB37" s="928">
        <v>12</v>
      </c>
      <c r="AC37" s="930">
        <v>25</v>
      </c>
    </row>
    <row r="38" spans="1:29" s="931" customFormat="1" ht="18" customHeight="1">
      <c r="A38" s="927">
        <v>35</v>
      </c>
      <c r="B38" s="942" t="s">
        <v>2159</v>
      </c>
      <c r="C38" s="215" t="s">
        <v>2296</v>
      </c>
      <c r="D38" s="215" t="s">
        <v>2234</v>
      </c>
      <c r="E38" s="939" t="s">
        <v>2278</v>
      </c>
      <c r="F38" s="939"/>
      <c r="G38" s="215"/>
      <c r="H38" s="215">
        <v>14</v>
      </c>
      <c r="I38" s="215"/>
      <c r="J38" s="215"/>
      <c r="K38" s="215"/>
      <c r="L38" s="215"/>
      <c r="M38" s="215"/>
      <c r="N38" s="928">
        <v>9.83</v>
      </c>
      <c r="O38" s="928">
        <v>0.95</v>
      </c>
      <c r="P38" s="928">
        <v>520</v>
      </c>
      <c r="Q38" s="929">
        <v>4500</v>
      </c>
      <c r="R38" s="928">
        <v>350</v>
      </c>
      <c r="S38" s="928">
        <v>368</v>
      </c>
      <c r="T38" s="928">
        <v>18.46</v>
      </c>
      <c r="U38" s="928">
        <v>176.94</v>
      </c>
      <c r="V38" s="928">
        <v>51.6</v>
      </c>
      <c r="W38" s="928">
        <v>23.694000000000003</v>
      </c>
      <c r="X38" s="928">
        <v>252.23399999999998</v>
      </c>
      <c r="Y38" s="928">
        <v>9.83</v>
      </c>
      <c r="Z38" s="928">
        <v>11.796</v>
      </c>
      <c r="AA38" s="928">
        <v>0.032766666666666666</v>
      </c>
      <c r="AB38" s="928">
        <v>55</v>
      </c>
      <c r="AC38" s="930">
        <v>28</v>
      </c>
    </row>
    <row r="39" spans="1:29" s="943" customFormat="1" ht="18" customHeight="1">
      <c r="A39" s="927">
        <v>36</v>
      </c>
      <c r="B39" s="942" t="s">
        <v>2160</v>
      </c>
      <c r="C39" s="215" t="s">
        <v>2297</v>
      </c>
      <c r="D39" s="215" t="s">
        <v>2234</v>
      </c>
      <c r="E39" s="939" t="s">
        <v>2279</v>
      </c>
      <c r="F39" s="939"/>
      <c r="G39" s="215"/>
      <c r="H39" s="215">
        <v>43.2</v>
      </c>
      <c r="I39" s="215"/>
      <c r="J39" s="215"/>
      <c r="K39" s="215"/>
      <c r="L39" s="215"/>
      <c r="M39" s="215"/>
      <c r="N39" s="928">
        <v>34.55</v>
      </c>
      <c r="O39" s="928">
        <v>0.8</v>
      </c>
      <c r="P39" s="928">
        <v>525</v>
      </c>
      <c r="Q39" s="929">
        <v>2500</v>
      </c>
      <c r="R39" s="928">
        <v>350</v>
      </c>
      <c r="S39" s="928">
        <v>250</v>
      </c>
      <c r="T39" s="928">
        <v>24.46</v>
      </c>
      <c r="U39" s="928">
        <v>621.9</v>
      </c>
      <c r="V39" s="928">
        <v>35.75</v>
      </c>
      <c r="W39" s="928">
        <v>19.8</v>
      </c>
      <c r="X39" s="928">
        <v>677.4499999999999</v>
      </c>
      <c r="Y39" s="928">
        <v>34.55</v>
      </c>
      <c r="Z39" s="928">
        <v>41.459999999999994</v>
      </c>
      <c r="AA39" s="928">
        <v>0.11516666666666668</v>
      </c>
      <c r="AB39" s="928">
        <v>85</v>
      </c>
      <c r="AC39" s="930">
        <v>45</v>
      </c>
    </row>
    <row r="40" spans="1:29" s="943" customFormat="1" ht="18" customHeight="1">
      <c r="A40" s="927">
        <v>37</v>
      </c>
      <c r="B40" s="655" t="s">
        <v>2241</v>
      </c>
      <c r="C40" s="215" t="s">
        <v>2170</v>
      </c>
      <c r="D40" s="215" t="s">
        <v>2234</v>
      </c>
      <c r="E40" s="939" t="s">
        <v>2280</v>
      </c>
      <c r="F40" s="939"/>
      <c r="G40" s="215"/>
      <c r="H40" s="215">
        <v>21.8</v>
      </c>
      <c r="I40" s="215"/>
      <c r="J40" s="215"/>
      <c r="K40" s="215"/>
      <c r="L40" s="215"/>
      <c r="M40" s="215"/>
      <c r="N40" s="928">
        <v>6.599090909090909</v>
      </c>
      <c r="O40" s="928">
        <v>3.5</v>
      </c>
      <c r="P40" s="928">
        <v>2144.7045454545455</v>
      </c>
      <c r="Q40" s="929">
        <v>791.8909090909091</v>
      </c>
      <c r="R40" s="928">
        <v>659.909090909091</v>
      </c>
      <c r="S40" s="928">
        <v>197.9727272727273</v>
      </c>
      <c r="T40" s="928">
        <v>1.1645454545454546</v>
      </c>
      <c r="U40" s="928">
        <v>197.97272727272727</v>
      </c>
      <c r="V40" s="928">
        <v>70.67626363636363</v>
      </c>
      <c r="W40" s="928">
        <v>25.736454545454546</v>
      </c>
      <c r="X40" s="928">
        <v>294.38544545454545</v>
      </c>
      <c r="Y40" s="928">
        <v>6.599090909090909</v>
      </c>
      <c r="Z40" s="928">
        <v>7.91890909090909</v>
      </c>
      <c r="AA40" s="928">
        <v>0.02587878787878788</v>
      </c>
      <c r="AB40" s="928">
        <v>9.338188048832727</v>
      </c>
      <c r="AC40" s="930">
        <v>3.4936363636363637</v>
      </c>
    </row>
    <row r="41" spans="1:29" s="943" customFormat="1" ht="18" customHeight="1">
      <c r="A41" s="927">
        <v>38</v>
      </c>
      <c r="B41" s="655" t="s">
        <v>2240</v>
      </c>
      <c r="C41" s="215" t="s">
        <v>2171</v>
      </c>
      <c r="D41" s="215" t="s">
        <v>2234</v>
      </c>
      <c r="E41" s="939" t="s">
        <v>2281</v>
      </c>
      <c r="F41" s="939"/>
      <c r="G41" s="215"/>
      <c r="H41" s="215">
        <v>17.6</v>
      </c>
      <c r="I41" s="215"/>
      <c r="J41" s="215"/>
      <c r="K41" s="215"/>
      <c r="L41" s="215"/>
      <c r="M41" s="215"/>
      <c r="N41" s="928">
        <v>5.2593749999999995</v>
      </c>
      <c r="O41" s="928">
        <v>3</v>
      </c>
      <c r="P41" s="928">
        <v>1709.2968749999998</v>
      </c>
      <c r="Q41" s="929">
        <v>631.1249999999999</v>
      </c>
      <c r="R41" s="928">
        <v>525.9374999999999</v>
      </c>
      <c r="S41" s="928">
        <v>157.78124999999997</v>
      </c>
      <c r="T41" s="928">
        <v>0.928125</v>
      </c>
      <c r="U41" s="928">
        <v>157.78124999999997</v>
      </c>
      <c r="V41" s="928">
        <v>56.32790624999999</v>
      </c>
      <c r="W41" s="928">
        <v>20.511562499999997</v>
      </c>
      <c r="X41" s="928">
        <v>234.62071874999995</v>
      </c>
      <c r="Y41" s="928">
        <v>5.2593749999999995</v>
      </c>
      <c r="Z41" s="928">
        <v>6.311249999999999</v>
      </c>
      <c r="AA41" s="928">
        <v>0.01895833333333333</v>
      </c>
      <c r="AB41" s="928">
        <v>6.835960258212863</v>
      </c>
      <c r="AC41" s="930">
        <v>2.784375</v>
      </c>
    </row>
    <row r="42" spans="1:29" s="943" customFormat="1" ht="18" customHeight="1">
      <c r="A42" s="927">
        <v>39</v>
      </c>
      <c r="B42" s="655" t="s">
        <v>1388</v>
      </c>
      <c r="C42" s="215" t="s">
        <v>2173</v>
      </c>
      <c r="D42" s="215" t="s">
        <v>2234</v>
      </c>
      <c r="E42" s="939" t="s">
        <v>2282</v>
      </c>
      <c r="F42" s="939"/>
      <c r="G42" s="215"/>
      <c r="H42" s="215">
        <v>21.44</v>
      </c>
      <c r="I42" s="215"/>
      <c r="J42" s="215"/>
      <c r="K42" s="215"/>
      <c r="L42" s="215"/>
      <c r="M42" s="215"/>
      <c r="N42" s="928">
        <v>3.5328125</v>
      </c>
      <c r="O42" s="928">
        <v>3.5</v>
      </c>
      <c r="P42" s="928">
        <v>1148.1640625</v>
      </c>
      <c r="Q42" s="929">
        <v>423.9375</v>
      </c>
      <c r="R42" s="928">
        <v>353.28125</v>
      </c>
      <c r="S42" s="928">
        <v>105.984375</v>
      </c>
      <c r="T42" s="928">
        <v>0.6234375</v>
      </c>
      <c r="U42" s="928">
        <v>105.984375</v>
      </c>
      <c r="V42" s="928">
        <v>37.836421875</v>
      </c>
      <c r="W42" s="928">
        <v>13.77796875</v>
      </c>
      <c r="X42" s="928">
        <v>157.598765625</v>
      </c>
      <c r="Y42" s="928">
        <v>3.5328125</v>
      </c>
      <c r="Z42" s="928">
        <v>4.239375</v>
      </c>
      <c r="AA42" s="928">
        <v>0.013854166666666667</v>
      </c>
      <c r="AB42" s="928">
        <v>7.4753321013911656</v>
      </c>
      <c r="AC42" s="930">
        <v>1.8703124999999998</v>
      </c>
    </row>
    <row r="43" spans="1:29" s="943" customFormat="1" ht="18" customHeight="1">
      <c r="A43" s="927">
        <v>40</v>
      </c>
      <c r="B43" s="655" t="s">
        <v>2250</v>
      </c>
      <c r="C43" s="215" t="s">
        <v>2184</v>
      </c>
      <c r="D43" s="215" t="s">
        <v>2234</v>
      </c>
      <c r="E43" s="939" t="s">
        <v>2283</v>
      </c>
      <c r="F43" s="939"/>
      <c r="G43" s="215"/>
      <c r="H43" s="215">
        <v>45.4</v>
      </c>
      <c r="I43" s="215"/>
      <c r="J43" s="215"/>
      <c r="K43" s="215"/>
      <c r="L43" s="215"/>
      <c r="M43" s="215"/>
      <c r="N43" s="928">
        <v>15.15</v>
      </c>
      <c r="O43" s="928">
        <v>0.9</v>
      </c>
      <c r="P43" s="928">
        <v>80</v>
      </c>
      <c r="Q43" s="929"/>
      <c r="R43" s="928"/>
      <c r="S43" s="928"/>
      <c r="T43" s="928"/>
      <c r="U43" s="928">
        <v>272.7</v>
      </c>
      <c r="V43" s="928">
        <v>2.4</v>
      </c>
      <c r="W43" s="928">
        <v>0</v>
      </c>
      <c r="X43" s="928">
        <v>275.09999999999997</v>
      </c>
      <c r="Y43" s="928">
        <v>15.15</v>
      </c>
      <c r="Z43" s="928">
        <v>18.18</v>
      </c>
      <c r="AA43" s="928">
        <v>0.0379</v>
      </c>
      <c r="AB43" s="928"/>
      <c r="AC43" s="930"/>
    </row>
    <row r="44" spans="1:29" s="943" customFormat="1" ht="18" customHeight="1">
      <c r="A44" s="927">
        <v>41</v>
      </c>
      <c r="B44" s="655" t="s">
        <v>2187</v>
      </c>
      <c r="C44" s="215" t="s">
        <v>2184</v>
      </c>
      <c r="D44" s="215" t="s">
        <v>2234</v>
      </c>
      <c r="E44" s="939" t="s">
        <v>2280</v>
      </c>
      <c r="F44" s="939"/>
      <c r="G44" s="215"/>
      <c r="H44" s="215">
        <v>24</v>
      </c>
      <c r="I44" s="215"/>
      <c r="J44" s="215"/>
      <c r="K44" s="215"/>
      <c r="L44" s="215"/>
      <c r="M44" s="215"/>
      <c r="N44" s="928">
        <v>10.8</v>
      </c>
      <c r="O44" s="928">
        <v>0.85</v>
      </c>
      <c r="P44" s="928">
        <v>70</v>
      </c>
      <c r="Q44" s="929"/>
      <c r="R44" s="928"/>
      <c r="S44" s="928"/>
      <c r="T44" s="928"/>
      <c r="U44" s="928">
        <v>194.4</v>
      </c>
      <c r="V44" s="928">
        <v>2.1</v>
      </c>
      <c r="W44" s="928">
        <v>0</v>
      </c>
      <c r="X44" s="928">
        <v>196.5</v>
      </c>
      <c r="Y44" s="928">
        <v>10.8</v>
      </c>
      <c r="Z44" s="928">
        <v>12.96</v>
      </c>
      <c r="AA44" s="928">
        <v>0.027</v>
      </c>
      <c r="AB44" s="928"/>
      <c r="AC44" s="930"/>
    </row>
    <row r="45" spans="1:29" s="943" customFormat="1" ht="18" customHeight="1">
      <c r="A45" s="927">
        <v>42</v>
      </c>
      <c r="B45" s="655" t="s">
        <v>2188</v>
      </c>
      <c r="C45" s="215" t="s">
        <v>2298</v>
      </c>
      <c r="D45" s="215" t="s">
        <v>2234</v>
      </c>
      <c r="E45" s="939" t="s">
        <v>2284</v>
      </c>
      <c r="F45" s="939"/>
      <c r="G45" s="215"/>
      <c r="H45" s="215">
        <v>29.26</v>
      </c>
      <c r="I45" s="215"/>
      <c r="J45" s="215"/>
      <c r="K45" s="215"/>
      <c r="L45" s="215"/>
      <c r="M45" s="215"/>
      <c r="N45" s="928">
        <v>13.3</v>
      </c>
      <c r="O45" s="928">
        <v>0.9</v>
      </c>
      <c r="P45" s="928">
        <v>80</v>
      </c>
      <c r="Q45" s="929"/>
      <c r="R45" s="928"/>
      <c r="S45" s="928"/>
      <c r="T45" s="928"/>
      <c r="U45" s="928">
        <v>239.4</v>
      </c>
      <c r="V45" s="928">
        <v>2.4</v>
      </c>
      <c r="W45" s="928">
        <v>0</v>
      </c>
      <c r="X45" s="928">
        <v>241.8</v>
      </c>
      <c r="Y45" s="928">
        <v>13.3</v>
      </c>
      <c r="Z45" s="928">
        <v>15.96</v>
      </c>
      <c r="AA45" s="928">
        <v>0.333</v>
      </c>
      <c r="AB45" s="928"/>
      <c r="AC45" s="930"/>
    </row>
    <row r="46" spans="1:29" s="943" customFormat="1" ht="18" customHeight="1">
      <c r="A46" s="927">
        <v>43</v>
      </c>
      <c r="B46" s="655" t="s">
        <v>2189</v>
      </c>
      <c r="C46" s="215" t="s">
        <v>2264</v>
      </c>
      <c r="D46" s="215" t="s">
        <v>2234</v>
      </c>
      <c r="E46" s="939" t="s">
        <v>2280</v>
      </c>
      <c r="F46" s="939"/>
      <c r="G46" s="215"/>
      <c r="H46" s="215">
        <v>10</v>
      </c>
      <c r="I46" s="215"/>
      <c r="J46" s="215"/>
      <c r="K46" s="215"/>
      <c r="L46" s="215"/>
      <c r="M46" s="215"/>
      <c r="N46" s="928">
        <v>3.15</v>
      </c>
      <c r="O46" s="928">
        <v>0.9</v>
      </c>
      <c r="P46" s="928">
        <v>58</v>
      </c>
      <c r="Q46" s="929"/>
      <c r="R46" s="928"/>
      <c r="S46" s="928"/>
      <c r="T46" s="928"/>
      <c r="U46" s="928">
        <v>56.699999999999996</v>
      </c>
      <c r="V46" s="928">
        <v>1.74</v>
      </c>
      <c r="W46" s="928">
        <v>0</v>
      </c>
      <c r="X46" s="928">
        <v>58.44</v>
      </c>
      <c r="Y46" s="928">
        <v>3.15</v>
      </c>
      <c r="Z46" s="928">
        <v>3.78</v>
      </c>
      <c r="AA46" s="928">
        <v>0.0079</v>
      </c>
      <c r="AB46" s="928"/>
      <c r="AC46" s="930"/>
    </row>
    <row r="47" spans="1:29" s="943" customFormat="1" ht="18" customHeight="1">
      <c r="A47" s="927">
        <v>44</v>
      </c>
      <c r="B47" s="655" t="s">
        <v>2190</v>
      </c>
      <c r="C47" s="215" t="s">
        <v>2299</v>
      </c>
      <c r="D47" s="215" t="s">
        <v>2234</v>
      </c>
      <c r="E47" s="939" t="s">
        <v>2285</v>
      </c>
      <c r="F47" s="939"/>
      <c r="G47" s="215"/>
      <c r="H47" s="215">
        <v>15.59</v>
      </c>
      <c r="I47" s="215"/>
      <c r="J47" s="215"/>
      <c r="K47" s="215"/>
      <c r="L47" s="215"/>
      <c r="M47" s="215"/>
      <c r="N47" s="928">
        <v>1.25</v>
      </c>
      <c r="O47" s="928">
        <v>0.4</v>
      </c>
      <c r="P47" s="928">
        <v>180</v>
      </c>
      <c r="Q47" s="929">
        <v>0</v>
      </c>
      <c r="R47" s="928">
        <v>0</v>
      </c>
      <c r="S47" s="928">
        <v>0</v>
      </c>
      <c r="T47" s="928">
        <v>0</v>
      </c>
      <c r="U47" s="928">
        <v>22.5</v>
      </c>
      <c r="V47" s="928">
        <v>5.4</v>
      </c>
      <c r="W47" s="928">
        <v>0</v>
      </c>
      <c r="X47" s="928">
        <v>27.9</v>
      </c>
      <c r="Y47" s="928">
        <v>1.25</v>
      </c>
      <c r="Z47" s="928">
        <v>1.5</v>
      </c>
      <c r="AA47" s="928">
        <v>0.003</v>
      </c>
      <c r="AB47" s="928">
        <v>0</v>
      </c>
      <c r="AC47" s="930">
        <v>0</v>
      </c>
    </row>
    <row r="48" spans="1:29" s="931" customFormat="1" ht="18" customHeight="1">
      <c r="A48" s="927">
        <v>45</v>
      </c>
      <c r="B48" s="655" t="s">
        <v>2251</v>
      </c>
      <c r="C48" s="215" t="s">
        <v>2252</v>
      </c>
      <c r="D48" s="215" t="s">
        <v>2234</v>
      </c>
      <c r="E48" s="215">
        <v>1959</v>
      </c>
      <c r="F48" s="215"/>
      <c r="G48" s="215"/>
      <c r="H48" s="215">
        <v>31.69</v>
      </c>
      <c r="I48" s="215"/>
      <c r="J48" s="215"/>
      <c r="K48" s="215"/>
      <c r="L48" s="944"/>
      <c r="M48" s="215"/>
      <c r="N48" s="928">
        <v>1.61</v>
      </c>
      <c r="O48" s="928">
        <v>2.5</v>
      </c>
      <c r="P48" s="928">
        <v>125</v>
      </c>
      <c r="Q48" s="929"/>
      <c r="R48" s="928">
        <v>89</v>
      </c>
      <c r="S48" s="928"/>
      <c r="T48" s="928"/>
      <c r="U48" s="928">
        <v>28.98</v>
      </c>
      <c r="V48" s="928">
        <v>3.75</v>
      </c>
      <c r="W48" s="928">
        <v>2.67</v>
      </c>
      <c r="X48" s="928">
        <v>35.400000000000006</v>
      </c>
      <c r="Y48" s="928">
        <v>1.61</v>
      </c>
      <c r="Z48" s="928">
        <v>1.932</v>
      </c>
      <c r="AA48" s="928">
        <v>0.004</v>
      </c>
      <c r="AB48" s="928"/>
      <c r="AC48" s="928"/>
    </row>
    <row r="49" spans="1:29" s="931" customFormat="1" ht="18" customHeight="1">
      <c r="A49" s="927">
        <v>46</v>
      </c>
      <c r="B49" s="655" t="s">
        <v>2191</v>
      </c>
      <c r="C49" s="941" t="s">
        <v>2300</v>
      </c>
      <c r="D49" s="215" t="s">
        <v>2234</v>
      </c>
      <c r="E49" s="215">
        <v>1976</v>
      </c>
      <c r="F49" s="215"/>
      <c r="G49" s="215"/>
      <c r="H49" s="215">
        <v>16</v>
      </c>
      <c r="I49" s="215"/>
      <c r="J49" s="215"/>
      <c r="K49" s="215"/>
      <c r="L49" s="944"/>
      <c r="M49" s="215"/>
      <c r="N49" s="928">
        <v>8.8</v>
      </c>
      <c r="O49" s="928">
        <v>0.6</v>
      </c>
      <c r="P49" s="928">
        <v>380</v>
      </c>
      <c r="Q49" s="929">
        <v>3000</v>
      </c>
      <c r="R49" s="928">
        <v>210</v>
      </c>
      <c r="S49" s="928">
        <v>400</v>
      </c>
      <c r="T49" s="928">
        <v>8.8</v>
      </c>
      <c r="U49" s="928">
        <v>158.4</v>
      </c>
      <c r="V49" s="928">
        <v>35.4</v>
      </c>
      <c r="W49" s="928">
        <v>18.3</v>
      </c>
      <c r="X49" s="928">
        <v>212.10000000000002</v>
      </c>
      <c r="Y49" s="928">
        <v>8.8</v>
      </c>
      <c r="Z49" s="928">
        <v>10.56</v>
      </c>
      <c r="AA49" s="928">
        <v>0.02</v>
      </c>
      <c r="AB49" s="928">
        <v>42</v>
      </c>
      <c r="AC49" s="928"/>
    </row>
    <row r="50" spans="1:29" s="931" customFormat="1" ht="18" customHeight="1">
      <c r="A50" s="927">
        <v>47</v>
      </c>
      <c r="B50" s="655" t="s">
        <v>2192</v>
      </c>
      <c r="C50" s="941" t="s">
        <v>1426</v>
      </c>
      <c r="D50" s="215" t="s">
        <v>2234</v>
      </c>
      <c r="E50" s="215">
        <v>1956</v>
      </c>
      <c r="F50" s="215"/>
      <c r="G50" s="215"/>
      <c r="H50" s="215">
        <v>12</v>
      </c>
      <c r="I50" s="215"/>
      <c r="J50" s="215"/>
      <c r="K50" s="215"/>
      <c r="L50" s="944"/>
      <c r="M50" s="215"/>
      <c r="N50" s="928">
        <v>6.4</v>
      </c>
      <c r="O50" s="928">
        <v>1</v>
      </c>
      <c r="P50" s="928">
        <v>440</v>
      </c>
      <c r="Q50" s="929">
        <v>5200</v>
      </c>
      <c r="R50" s="928">
        <v>240</v>
      </c>
      <c r="S50" s="928">
        <v>490</v>
      </c>
      <c r="T50" s="928">
        <v>6.4</v>
      </c>
      <c r="U50" s="928">
        <v>115.2</v>
      </c>
      <c r="V50" s="928">
        <v>54.8</v>
      </c>
      <c r="W50" s="928">
        <v>21.9</v>
      </c>
      <c r="X50" s="928">
        <v>191.9</v>
      </c>
      <c r="Y50" s="928">
        <v>6.4</v>
      </c>
      <c r="Z50" s="928">
        <v>7.68</v>
      </c>
      <c r="AA50" s="928">
        <v>0.08</v>
      </c>
      <c r="AB50" s="928">
        <v>58</v>
      </c>
      <c r="AC50" s="928"/>
    </row>
    <row r="51" spans="1:29" s="931" customFormat="1" ht="18" customHeight="1">
      <c r="A51" s="927">
        <v>48</v>
      </c>
      <c r="B51" s="655" t="s">
        <v>2193</v>
      </c>
      <c r="C51" s="941" t="s">
        <v>805</v>
      </c>
      <c r="D51" s="215" t="s">
        <v>2234</v>
      </c>
      <c r="E51" s="215">
        <v>1950</v>
      </c>
      <c r="F51" s="215"/>
      <c r="G51" s="215"/>
      <c r="H51" s="215">
        <v>12</v>
      </c>
      <c r="I51" s="62"/>
      <c r="J51" s="62"/>
      <c r="K51" s="62"/>
      <c r="L51" s="945"/>
      <c r="M51" s="62"/>
      <c r="N51" s="211">
        <v>7</v>
      </c>
      <c r="O51" s="211">
        <v>0.8</v>
      </c>
      <c r="P51" s="211">
        <v>360</v>
      </c>
      <c r="Q51" s="221">
        <v>2700</v>
      </c>
      <c r="R51" s="211">
        <v>220</v>
      </c>
      <c r="S51" s="211">
        <v>460</v>
      </c>
      <c r="T51" s="211">
        <v>7</v>
      </c>
      <c r="U51" s="211">
        <v>126</v>
      </c>
      <c r="V51" s="211">
        <v>32.4</v>
      </c>
      <c r="W51" s="211">
        <v>20.4</v>
      </c>
      <c r="X51" s="211">
        <v>178.8</v>
      </c>
      <c r="Y51" s="211">
        <v>7</v>
      </c>
      <c r="Z51" s="211">
        <v>8.4</v>
      </c>
      <c r="AA51" s="211">
        <v>0.02</v>
      </c>
      <c r="AB51" s="211">
        <v>35</v>
      </c>
      <c r="AC51" s="211"/>
    </row>
    <row r="52" spans="1:29" s="931" customFormat="1" ht="18" customHeight="1">
      <c r="A52" s="927">
        <v>49</v>
      </c>
      <c r="B52" s="655" t="s">
        <v>2194</v>
      </c>
      <c r="C52" s="941" t="s">
        <v>1428</v>
      </c>
      <c r="D52" s="215" t="s">
        <v>2234</v>
      </c>
      <c r="E52" s="215">
        <v>1957</v>
      </c>
      <c r="F52" s="215"/>
      <c r="G52" s="215"/>
      <c r="H52" s="215">
        <v>20</v>
      </c>
      <c r="I52" s="62"/>
      <c r="J52" s="62"/>
      <c r="K52" s="62"/>
      <c r="L52" s="945"/>
      <c r="M52" s="62"/>
      <c r="N52" s="211">
        <v>5.04</v>
      </c>
      <c r="O52" s="211">
        <v>0.4</v>
      </c>
      <c r="P52" s="211">
        <v>350</v>
      </c>
      <c r="Q52" s="221">
        <v>3400</v>
      </c>
      <c r="R52" s="211">
        <v>290</v>
      </c>
      <c r="S52" s="211">
        <v>410</v>
      </c>
      <c r="T52" s="211">
        <v>5.04</v>
      </c>
      <c r="U52" s="211">
        <v>90.72</v>
      </c>
      <c r="V52" s="211">
        <v>37.7</v>
      </c>
      <c r="W52" s="211">
        <v>21</v>
      </c>
      <c r="X52" s="211">
        <v>149.42000000000002</v>
      </c>
      <c r="Y52" s="211">
        <v>5.04</v>
      </c>
      <c r="Z52" s="211">
        <v>6.048</v>
      </c>
      <c r="AA52" s="211">
        <v>0.05</v>
      </c>
      <c r="AB52" s="211">
        <v>51</v>
      </c>
      <c r="AC52" s="211"/>
    </row>
    <row r="53" spans="1:29" s="931" customFormat="1" ht="18" customHeight="1">
      <c r="A53" s="927">
        <v>50</v>
      </c>
      <c r="B53" s="655" t="s">
        <v>2253</v>
      </c>
      <c r="C53" s="941" t="s">
        <v>1430</v>
      </c>
      <c r="D53" s="215" t="s">
        <v>2234</v>
      </c>
      <c r="E53" s="215">
        <v>1975</v>
      </c>
      <c r="F53" s="215"/>
      <c r="G53" s="215"/>
      <c r="H53" s="215">
        <v>36.9</v>
      </c>
      <c r="I53" s="62"/>
      <c r="J53" s="62"/>
      <c r="K53" s="62"/>
      <c r="L53" s="945"/>
      <c r="M53" s="62"/>
      <c r="N53" s="211">
        <v>13.5</v>
      </c>
      <c r="O53" s="211">
        <v>0.6</v>
      </c>
      <c r="P53" s="211">
        <v>280</v>
      </c>
      <c r="Q53" s="221">
        <v>3500</v>
      </c>
      <c r="R53" s="211">
        <v>250</v>
      </c>
      <c r="S53" s="211">
        <v>400</v>
      </c>
      <c r="T53" s="211">
        <v>13.5</v>
      </c>
      <c r="U53" s="211">
        <v>243</v>
      </c>
      <c r="V53" s="211">
        <v>36.4</v>
      </c>
      <c r="W53" s="211">
        <v>19.5</v>
      </c>
      <c r="X53" s="211">
        <v>298.9</v>
      </c>
      <c r="Y53" s="211">
        <v>13.5</v>
      </c>
      <c r="Z53" s="211">
        <v>16.2</v>
      </c>
      <c r="AA53" s="211">
        <v>0.03</v>
      </c>
      <c r="AB53" s="211">
        <v>39</v>
      </c>
      <c r="AC53" s="211"/>
    </row>
    <row r="54" spans="1:29" s="931" customFormat="1" ht="18" customHeight="1">
      <c r="A54" s="927">
        <v>51</v>
      </c>
      <c r="B54" s="655" t="s">
        <v>2195</v>
      </c>
      <c r="C54" s="941" t="s">
        <v>1431</v>
      </c>
      <c r="D54" s="215" t="s">
        <v>2234</v>
      </c>
      <c r="E54" s="215">
        <v>1958</v>
      </c>
      <c r="F54" s="215"/>
      <c r="G54" s="215"/>
      <c r="H54" s="215">
        <v>36.9</v>
      </c>
      <c r="I54" s="62"/>
      <c r="J54" s="62"/>
      <c r="K54" s="62"/>
      <c r="L54" s="945"/>
      <c r="M54" s="62"/>
      <c r="N54" s="211">
        <v>12.4</v>
      </c>
      <c r="O54" s="211">
        <v>0.5</v>
      </c>
      <c r="P54" s="211">
        <v>300</v>
      </c>
      <c r="Q54" s="221">
        <v>3500</v>
      </c>
      <c r="R54" s="211">
        <v>190</v>
      </c>
      <c r="S54" s="211">
        <v>420</v>
      </c>
      <c r="T54" s="211">
        <v>12.4</v>
      </c>
      <c r="U54" s="211">
        <v>223.20000000000002</v>
      </c>
      <c r="V54" s="211">
        <v>37</v>
      </c>
      <c r="W54" s="211">
        <v>18.3</v>
      </c>
      <c r="X54" s="211">
        <v>278.50000000000006</v>
      </c>
      <c r="Y54" s="211">
        <v>12.4</v>
      </c>
      <c r="Z54" s="211">
        <v>14.879999999999999</v>
      </c>
      <c r="AA54" s="211">
        <v>0.3</v>
      </c>
      <c r="AB54" s="211">
        <v>33</v>
      </c>
      <c r="AC54" s="211"/>
    </row>
    <row r="55" spans="1:29" s="931" customFormat="1" ht="18" customHeight="1">
      <c r="A55" s="927">
        <v>52</v>
      </c>
      <c r="B55" s="655" t="s">
        <v>2196</v>
      </c>
      <c r="C55" s="941" t="s">
        <v>1432</v>
      </c>
      <c r="D55" s="215" t="s">
        <v>2234</v>
      </c>
      <c r="E55" s="215">
        <v>1958</v>
      </c>
      <c r="F55" s="215"/>
      <c r="G55" s="215"/>
      <c r="H55" s="215">
        <v>15</v>
      </c>
      <c r="I55" s="62"/>
      <c r="J55" s="62"/>
      <c r="K55" s="62"/>
      <c r="L55" s="945"/>
      <c r="M55" s="62"/>
      <c r="N55" s="211">
        <v>6.2</v>
      </c>
      <c r="O55" s="211">
        <v>0.5</v>
      </c>
      <c r="P55" s="211">
        <v>320</v>
      </c>
      <c r="Q55" s="221">
        <v>3400</v>
      </c>
      <c r="R55" s="211">
        <v>170</v>
      </c>
      <c r="S55" s="211">
        <v>560</v>
      </c>
      <c r="T55" s="211">
        <v>6.2</v>
      </c>
      <c r="U55" s="211">
        <v>111.60000000000001</v>
      </c>
      <c r="V55" s="211">
        <v>36.8</v>
      </c>
      <c r="W55" s="211">
        <v>21.9</v>
      </c>
      <c r="X55" s="211">
        <v>170.3</v>
      </c>
      <c r="Y55" s="211">
        <v>6.2</v>
      </c>
      <c r="Z55" s="211">
        <v>7.4399999999999995</v>
      </c>
      <c r="AA55" s="211">
        <v>0.03</v>
      </c>
      <c r="AB55" s="211">
        <v>60</v>
      </c>
      <c r="AC55" s="211"/>
    </row>
    <row r="56" spans="1:29" s="931" customFormat="1" ht="18" customHeight="1">
      <c r="A56" s="927">
        <v>53</v>
      </c>
      <c r="B56" s="942" t="s">
        <v>2197</v>
      </c>
      <c r="C56" s="215" t="s">
        <v>2254</v>
      </c>
      <c r="D56" s="215" t="s">
        <v>2234</v>
      </c>
      <c r="E56" s="215">
        <v>1959</v>
      </c>
      <c r="F56" s="215"/>
      <c r="G56" s="215"/>
      <c r="H56" s="941">
        <v>18</v>
      </c>
      <c r="I56" s="62"/>
      <c r="J56" s="62"/>
      <c r="K56" s="62"/>
      <c r="L56" s="945"/>
      <c r="M56" s="62"/>
      <c r="N56" s="211">
        <v>8.75</v>
      </c>
      <c r="O56" s="211">
        <v>0.85</v>
      </c>
      <c r="P56" s="211">
        <v>550</v>
      </c>
      <c r="Q56" s="221">
        <v>1200</v>
      </c>
      <c r="R56" s="211">
        <v>258</v>
      </c>
      <c r="S56" s="211">
        <v>421</v>
      </c>
      <c r="T56" s="211">
        <v>19.46</v>
      </c>
      <c r="U56" s="211">
        <v>157.5</v>
      </c>
      <c r="V56" s="211">
        <v>26.1</v>
      </c>
      <c r="W56" s="211">
        <v>20.37</v>
      </c>
      <c r="X56" s="211">
        <v>203.97</v>
      </c>
      <c r="Y56" s="211">
        <v>8.75</v>
      </c>
      <c r="Z56" s="211">
        <v>10.5</v>
      </c>
      <c r="AA56" s="211">
        <v>0.029166666666666667</v>
      </c>
      <c r="AB56" s="211">
        <v>65</v>
      </c>
      <c r="AC56" s="211">
        <v>32</v>
      </c>
    </row>
    <row r="57" spans="1:29" s="931" customFormat="1" ht="18" customHeight="1">
      <c r="A57" s="927">
        <v>54</v>
      </c>
      <c r="B57" s="942" t="s">
        <v>2198</v>
      </c>
      <c r="C57" s="215" t="s">
        <v>2255</v>
      </c>
      <c r="D57" s="215" t="s">
        <v>2234</v>
      </c>
      <c r="E57" s="215">
        <v>1959</v>
      </c>
      <c r="F57" s="215"/>
      <c r="G57" s="215"/>
      <c r="H57" s="946">
        <v>35</v>
      </c>
      <c r="I57" s="62"/>
      <c r="J57" s="62"/>
      <c r="K57" s="62"/>
      <c r="L57" s="945"/>
      <c r="M57" s="62"/>
      <c r="N57" s="211">
        <v>21.99</v>
      </c>
      <c r="O57" s="211">
        <v>1.2</v>
      </c>
      <c r="P57" s="211">
        <v>910</v>
      </c>
      <c r="Q57" s="221">
        <v>7500</v>
      </c>
      <c r="R57" s="211">
        <v>1205</v>
      </c>
      <c r="S57" s="211">
        <v>879</v>
      </c>
      <c r="T57" s="211">
        <v>20.46</v>
      </c>
      <c r="U57" s="211">
        <v>395.82</v>
      </c>
      <c r="V57" s="211">
        <v>87.3</v>
      </c>
      <c r="W57" s="211">
        <v>62.52</v>
      </c>
      <c r="X57" s="211">
        <v>545.64</v>
      </c>
      <c r="Y57" s="211">
        <v>21.99</v>
      </c>
      <c r="Z57" s="211">
        <v>26.387999999999998</v>
      </c>
      <c r="AA57" s="211">
        <v>0.07329999999999999</v>
      </c>
      <c r="AB57" s="211">
        <v>175</v>
      </c>
      <c r="AC57" s="211">
        <v>95</v>
      </c>
    </row>
    <row r="58" spans="1:29" s="931" customFormat="1" ht="18" customHeight="1">
      <c r="A58" s="927">
        <v>55</v>
      </c>
      <c r="B58" s="942" t="s">
        <v>2199</v>
      </c>
      <c r="C58" s="215" t="s">
        <v>2256</v>
      </c>
      <c r="D58" s="215" t="s">
        <v>2234</v>
      </c>
      <c r="E58" s="215">
        <v>1973</v>
      </c>
      <c r="F58" s="215"/>
      <c r="G58" s="215"/>
      <c r="H58" s="941">
        <v>23.4</v>
      </c>
      <c r="I58" s="62"/>
      <c r="J58" s="62"/>
      <c r="K58" s="62"/>
      <c r="L58" s="62"/>
      <c r="M58" s="62"/>
      <c r="N58" s="211">
        <v>12.37</v>
      </c>
      <c r="O58" s="211">
        <v>0.5</v>
      </c>
      <c r="P58" s="211">
        <v>325</v>
      </c>
      <c r="Q58" s="221">
        <v>1200</v>
      </c>
      <c r="R58" s="211">
        <v>350</v>
      </c>
      <c r="S58" s="211">
        <v>321</v>
      </c>
      <c r="T58" s="212">
        <v>21.46</v>
      </c>
      <c r="U58" s="211">
        <v>222.66</v>
      </c>
      <c r="V58" s="211">
        <v>19.35</v>
      </c>
      <c r="W58" s="211">
        <v>20.13</v>
      </c>
      <c r="X58" s="211">
        <v>262.14</v>
      </c>
      <c r="Y58" s="211">
        <v>12.37</v>
      </c>
      <c r="Z58" s="211">
        <v>14.843999999999998</v>
      </c>
      <c r="AA58" s="211">
        <v>0.04123333333333332</v>
      </c>
      <c r="AB58" s="211">
        <v>25</v>
      </c>
      <c r="AC58" s="212">
        <v>22</v>
      </c>
    </row>
    <row r="59" spans="1:29" s="931" customFormat="1" ht="18" customHeight="1">
      <c r="A59" s="927">
        <v>56</v>
      </c>
      <c r="B59" s="942" t="s">
        <v>2200</v>
      </c>
      <c r="C59" s="215" t="s">
        <v>2257</v>
      </c>
      <c r="D59" s="215" t="s">
        <v>2234</v>
      </c>
      <c r="E59" s="215">
        <v>1959</v>
      </c>
      <c r="F59" s="215"/>
      <c r="G59" s="215"/>
      <c r="H59" s="941">
        <v>11</v>
      </c>
      <c r="I59" s="62"/>
      <c r="J59" s="62"/>
      <c r="K59" s="62"/>
      <c r="L59" s="62"/>
      <c r="M59" s="62"/>
      <c r="N59" s="211">
        <v>7.72</v>
      </c>
      <c r="O59" s="211">
        <v>0.4</v>
      </c>
      <c r="P59" s="211">
        <v>228</v>
      </c>
      <c r="Q59" s="221">
        <v>1100</v>
      </c>
      <c r="R59" s="211">
        <v>150</v>
      </c>
      <c r="S59" s="211">
        <v>150</v>
      </c>
      <c r="T59" s="213">
        <v>22.46</v>
      </c>
      <c r="U59" s="211">
        <v>138.96</v>
      </c>
      <c r="V59" s="211">
        <v>15.64</v>
      </c>
      <c r="W59" s="211">
        <v>9</v>
      </c>
      <c r="X59" s="211">
        <v>163.60000000000002</v>
      </c>
      <c r="Y59" s="211">
        <v>7.72</v>
      </c>
      <c r="Z59" s="211">
        <v>9.264</v>
      </c>
      <c r="AA59" s="211">
        <v>0.02573333333333333</v>
      </c>
      <c r="AB59" s="211"/>
      <c r="AC59" s="213">
        <v>10</v>
      </c>
    </row>
    <row r="60" spans="1:29" s="931" customFormat="1" ht="18" customHeight="1">
      <c r="A60" s="927">
        <v>57</v>
      </c>
      <c r="B60" s="942" t="s">
        <v>2201</v>
      </c>
      <c r="C60" s="215" t="s">
        <v>2258</v>
      </c>
      <c r="D60" s="215" t="s">
        <v>2234</v>
      </c>
      <c r="E60" s="215">
        <v>1972</v>
      </c>
      <c r="F60" s="215"/>
      <c r="G60" s="215"/>
      <c r="H60" s="941">
        <v>15</v>
      </c>
      <c r="I60" s="62"/>
      <c r="J60" s="62"/>
      <c r="K60" s="62"/>
      <c r="L60" s="62"/>
      <c r="M60" s="62"/>
      <c r="N60" s="211">
        <v>8.31</v>
      </c>
      <c r="O60" s="211">
        <v>0.4</v>
      </c>
      <c r="P60" s="211">
        <v>275</v>
      </c>
      <c r="Q60" s="221">
        <v>1210</v>
      </c>
      <c r="R60" s="211">
        <v>250</v>
      </c>
      <c r="S60" s="211">
        <v>185</v>
      </c>
      <c r="T60" s="212">
        <v>23.46</v>
      </c>
      <c r="U60" s="211">
        <v>149.58</v>
      </c>
      <c r="V60" s="211">
        <v>17.93</v>
      </c>
      <c r="W60" s="211">
        <v>13.05</v>
      </c>
      <c r="X60" s="211">
        <v>180.56000000000003</v>
      </c>
      <c r="Y60" s="211">
        <v>8.31</v>
      </c>
      <c r="Z60" s="211">
        <v>9.972</v>
      </c>
      <c r="AA60" s="211">
        <v>0.0277</v>
      </c>
      <c r="AB60" s="211"/>
      <c r="AC60" s="213">
        <v>15</v>
      </c>
    </row>
    <row r="61" spans="1:29" s="931" customFormat="1" ht="18" customHeight="1">
      <c r="A61" s="927">
        <v>58</v>
      </c>
      <c r="B61" s="942" t="s">
        <v>2202</v>
      </c>
      <c r="C61" s="215" t="s">
        <v>2297</v>
      </c>
      <c r="D61" s="215" t="s">
        <v>2234</v>
      </c>
      <c r="E61" s="215">
        <v>1970</v>
      </c>
      <c r="F61" s="215"/>
      <c r="G61" s="215"/>
      <c r="H61" s="215">
        <v>18</v>
      </c>
      <c r="I61" s="62"/>
      <c r="J61" s="62"/>
      <c r="K61" s="62"/>
      <c r="L61" s="62"/>
      <c r="M61" s="62"/>
      <c r="N61" s="211">
        <v>7.26</v>
      </c>
      <c r="O61" s="211">
        <v>0.7</v>
      </c>
      <c r="P61" s="211">
        <v>285</v>
      </c>
      <c r="Q61" s="221">
        <v>1310</v>
      </c>
      <c r="R61" s="211">
        <v>150</v>
      </c>
      <c r="S61" s="211">
        <v>120</v>
      </c>
      <c r="T61" s="213">
        <v>25.46</v>
      </c>
      <c r="U61" s="211">
        <v>130.68</v>
      </c>
      <c r="V61" s="211">
        <v>19.03</v>
      </c>
      <c r="W61" s="211">
        <v>8.1</v>
      </c>
      <c r="X61" s="211">
        <v>157.81</v>
      </c>
      <c r="Y61" s="211">
        <v>7.26</v>
      </c>
      <c r="Z61" s="211">
        <v>8.712</v>
      </c>
      <c r="AA61" s="211">
        <v>0.0242</v>
      </c>
      <c r="AB61" s="211">
        <v>25</v>
      </c>
      <c r="AC61" s="213">
        <v>21</v>
      </c>
    </row>
    <row r="62" spans="1:29" s="931" customFormat="1" ht="18" customHeight="1">
      <c r="A62" s="927">
        <v>59</v>
      </c>
      <c r="B62" s="655" t="s">
        <v>2203</v>
      </c>
      <c r="C62" s="215" t="s">
        <v>2175</v>
      </c>
      <c r="D62" s="215" t="s">
        <v>2235</v>
      </c>
      <c r="E62" s="215">
        <v>1988</v>
      </c>
      <c r="F62" s="215"/>
      <c r="G62" s="215"/>
      <c r="H62" s="215">
        <v>1100</v>
      </c>
      <c r="I62" s="62"/>
      <c r="J62" s="62"/>
      <c r="K62" s="62"/>
      <c r="L62" s="62"/>
      <c r="M62" s="62"/>
      <c r="N62" s="211">
        <v>90</v>
      </c>
      <c r="O62" s="211">
        <v>20</v>
      </c>
      <c r="P62" s="211">
        <v>4000</v>
      </c>
      <c r="Q62" s="221">
        <v>9000</v>
      </c>
      <c r="R62" s="211"/>
      <c r="S62" s="211"/>
      <c r="T62" s="213"/>
      <c r="U62" s="211">
        <v>3150</v>
      </c>
      <c r="V62" s="211">
        <v>140</v>
      </c>
      <c r="W62" s="211"/>
      <c r="X62" s="211">
        <v>3290</v>
      </c>
      <c r="Y62" s="211">
        <v>90</v>
      </c>
      <c r="Z62" s="211">
        <v>108</v>
      </c>
      <c r="AA62" s="211">
        <v>0.12</v>
      </c>
      <c r="AB62" s="211"/>
      <c r="AC62" s="213">
        <v>10</v>
      </c>
    </row>
    <row r="63" spans="1:29" s="931" customFormat="1" ht="18" customHeight="1">
      <c r="A63" s="927">
        <v>60</v>
      </c>
      <c r="B63" s="655" t="s">
        <v>2204</v>
      </c>
      <c r="C63" s="215" t="s">
        <v>2180</v>
      </c>
      <c r="D63" s="215" t="s">
        <v>2236</v>
      </c>
      <c r="E63" s="215">
        <v>1970</v>
      </c>
      <c r="F63" s="215"/>
      <c r="G63" s="215"/>
      <c r="H63" s="215">
        <v>240</v>
      </c>
      <c r="I63" s="62"/>
      <c r="J63" s="62"/>
      <c r="K63" s="62"/>
      <c r="L63" s="62"/>
      <c r="M63" s="62"/>
      <c r="N63" s="211">
        <v>20</v>
      </c>
      <c r="O63" s="211">
        <v>15</v>
      </c>
      <c r="P63" s="211">
        <v>2000</v>
      </c>
      <c r="Q63" s="221">
        <v>3000</v>
      </c>
      <c r="R63" s="211">
        <v>2500</v>
      </c>
      <c r="S63" s="211">
        <v>400</v>
      </c>
      <c r="T63" s="213">
        <v>15</v>
      </c>
      <c r="U63" s="211">
        <v>500</v>
      </c>
      <c r="V63" s="211">
        <v>70</v>
      </c>
      <c r="W63" s="211">
        <v>312.5</v>
      </c>
      <c r="X63" s="211">
        <v>882.5</v>
      </c>
      <c r="Y63" s="211">
        <v>20</v>
      </c>
      <c r="Z63" s="211">
        <v>24</v>
      </c>
      <c r="AA63" s="211">
        <v>0.07</v>
      </c>
      <c r="AB63" s="211">
        <v>20</v>
      </c>
      <c r="AC63" s="213">
        <v>5</v>
      </c>
    </row>
    <row r="64" spans="1:29" s="947" customFormat="1" ht="18" customHeight="1">
      <c r="A64" s="927">
        <v>61</v>
      </c>
      <c r="B64" s="655" t="s">
        <v>2205</v>
      </c>
      <c r="C64" s="215" t="s">
        <v>2182</v>
      </c>
      <c r="D64" s="215" t="s">
        <v>2236</v>
      </c>
      <c r="E64" s="215">
        <v>1969</v>
      </c>
      <c r="F64" s="215"/>
      <c r="G64" s="215"/>
      <c r="H64" s="215">
        <v>140</v>
      </c>
      <c r="I64" s="62"/>
      <c r="J64" s="62"/>
      <c r="K64" s="62"/>
      <c r="L64" s="62"/>
      <c r="M64" s="62"/>
      <c r="N64" s="211">
        <v>20</v>
      </c>
      <c r="O64" s="211">
        <v>10</v>
      </c>
      <c r="P64" s="211">
        <v>2200</v>
      </c>
      <c r="Q64" s="221">
        <v>4000</v>
      </c>
      <c r="R64" s="211">
        <v>1800</v>
      </c>
      <c r="S64" s="211">
        <v>380</v>
      </c>
      <c r="T64" s="213">
        <v>10</v>
      </c>
      <c r="U64" s="211">
        <v>500</v>
      </c>
      <c r="V64" s="211">
        <v>77</v>
      </c>
      <c r="W64" s="211">
        <v>213</v>
      </c>
      <c r="X64" s="211">
        <v>790</v>
      </c>
      <c r="Y64" s="211">
        <v>20</v>
      </c>
      <c r="Z64" s="211">
        <v>24</v>
      </c>
      <c r="AA64" s="211">
        <v>0.07</v>
      </c>
      <c r="AB64" s="211">
        <v>20</v>
      </c>
      <c r="AC64" s="213">
        <v>15</v>
      </c>
    </row>
    <row r="65" spans="1:29" s="947" customFormat="1" ht="18" customHeight="1">
      <c r="A65" s="927">
        <v>62</v>
      </c>
      <c r="B65" s="655" t="s">
        <v>2206</v>
      </c>
      <c r="C65" s="215" t="s">
        <v>2183</v>
      </c>
      <c r="D65" s="215" t="s">
        <v>2236</v>
      </c>
      <c r="E65" s="215">
        <v>1956</v>
      </c>
      <c r="F65" s="215"/>
      <c r="G65" s="215"/>
      <c r="H65" s="215">
        <v>170</v>
      </c>
      <c r="I65" s="62"/>
      <c r="J65" s="62"/>
      <c r="K65" s="62"/>
      <c r="L65" s="62"/>
      <c r="M65" s="62"/>
      <c r="N65" s="211">
        <v>20</v>
      </c>
      <c r="O65" s="211">
        <v>12</v>
      </c>
      <c r="P65" s="211">
        <v>2500</v>
      </c>
      <c r="Q65" s="221">
        <v>6000</v>
      </c>
      <c r="R65" s="211">
        <v>2200</v>
      </c>
      <c r="S65" s="211">
        <v>420</v>
      </c>
      <c r="T65" s="213">
        <v>8</v>
      </c>
      <c r="U65" s="211">
        <v>500</v>
      </c>
      <c r="V65" s="211">
        <v>87.5</v>
      </c>
      <c r="W65" s="211">
        <v>197</v>
      </c>
      <c r="X65" s="211">
        <v>784.5</v>
      </c>
      <c r="Y65" s="211">
        <v>20</v>
      </c>
      <c r="Z65" s="211">
        <v>24</v>
      </c>
      <c r="AA65" s="211">
        <v>0.07</v>
      </c>
      <c r="AB65" s="211">
        <v>20</v>
      </c>
      <c r="AC65" s="213">
        <v>10</v>
      </c>
    </row>
    <row r="66" spans="1:29" s="947" customFormat="1" ht="18" customHeight="1">
      <c r="A66" s="927">
        <v>63</v>
      </c>
      <c r="B66" s="655" t="s">
        <v>2207</v>
      </c>
      <c r="C66" s="941" t="s">
        <v>802</v>
      </c>
      <c r="D66" s="215" t="s">
        <v>2234</v>
      </c>
      <c r="E66" s="939" t="s">
        <v>2259</v>
      </c>
      <c r="F66" s="215"/>
      <c r="G66" s="215"/>
      <c r="H66" s="215">
        <v>26</v>
      </c>
      <c r="I66" s="62"/>
      <c r="J66" s="62"/>
      <c r="K66" s="62"/>
      <c r="L66" s="62"/>
      <c r="M66" s="62"/>
      <c r="N66" s="211">
        <v>12.24</v>
      </c>
      <c r="O66" s="211">
        <v>0.4</v>
      </c>
      <c r="P66" s="211">
        <v>430</v>
      </c>
      <c r="Q66" s="221">
        <v>2500</v>
      </c>
      <c r="R66" s="211">
        <v>150</v>
      </c>
      <c r="S66" s="211">
        <v>480</v>
      </c>
      <c r="T66" s="213">
        <v>12.24</v>
      </c>
      <c r="U66" s="211">
        <v>220.32</v>
      </c>
      <c r="V66" s="211">
        <v>32.9</v>
      </c>
      <c r="W66" s="211">
        <v>18.9</v>
      </c>
      <c r="X66" s="211">
        <v>272.12</v>
      </c>
      <c r="Y66" s="211">
        <v>12.24</v>
      </c>
      <c r="Z66" s="211">
        <v>14.687999999999999</v>
      </c>
      <c r="AA66" s="211">
        <v>0.02</v>
      </c>
      <c r="AB66" s="211">
        <v>48</v>
      </c>
      <c r="AC66" s="213"/>
    </row>
    <row r="67" spans="1:29" s="947" customFormat="1" ht="18" customHeight="1">
      <c r="A67" s="927">
        <v>64</v>
      </c>
      <c r="B67" s="655" t="s">
        <v>2208</v>
      </c>
      <c r="C67" s="941" t="s">
        <v>1433</v>
      </c>
      <c r="D67" s="215" t="s">
        <v>2234</v>
      </c>
      <c r="E67" s="939" t="s">
        <v>2259</v>
      </c>
      <c r="F67" s="215"/>
      <c r="G67" s="215"/>
      <c r="H67" s="215">
        <v>10</v>
      </c>
      <c r="I67" s="62"/>
      <c r="J67" s="62"/>
      <c r="K67" s="62"/>
      <c r="L67" s="62"/>
      <c r="M67" s="62"/>
      <c r="N67" s="211">
        <v>5.76</v>
      </c>
      <c r="O67" s="211">
        <v>0.6</v>
      </c>
      <c r="P67" s="211">
        <v>380</v>
      </c>
      <c r="Q67" s="221">
        <v>3000</v>
      </c>
      <c r="R67" s="211">
        <v>210</v>
      </c>
      <c r="S67" s="211">
        <v>400</v>
      </c>
      <c r="T67" s="213">
        <v>5.76</v>
      </c>
      <c r="U67" s="211">
        <v>103.67999999999999</v>
      </c>
      <c r="V67" s="211">
        <v>35.4</v>
      </c>
      <c r="W67" s="211">
        <v>18.3</v>
      </c>
      <c r="X67" s="211">
        <v>157.38</v>
      </c>
      <c r="Y67" s="211">
        <v>5.76</v>
      </c>
      <c r="Z67" s="211">
        <v>6.912</v>
      </c>
      <c r="AA67" s="211">
        <v>0.02</v>
      </c>
      <c r="AB67" s="211">
        <v>42</v>
      </c>
      <c r="AC67" s="213"/>
    </row>
    <row r="68" spans="1:29" s="947" customFormat="1" ht="18" customHeight="1">
      <c r="A68" s="927">
        <v>65</v>
      </c>
      <c r="B68" s="655" t="s">
        <v>2209</v>
      </c>
      <c r="C68" s="941" t="s">
        <v>1434</v>
      </c>
      <c r="D68" s="215" t="s">
        <v>2234</v>
      </c>
      <c r="E68" s="939" t="s">
        <v>2259</v>
      </c>
      <c r="F68" s="215"/>
      <c r="G68" s="215"/>
      <c r="H68" s="215">
        <v>14</v>
      </c>
      <c r="I68" s="62"/>
      <c r="J68" s="62"/>
      <c r="K68" s="62"/>
      <c r="L68" s="62"/>
      <c r="M68" s="62"/>
      <c r="N68" s="211">
        <v>10.08</v>
      </c>
      <c r="O68" s="211">
        <v>1</v>
      </c>
      <c r="P68" s="211">
        <v>290</v>
      </c>
      <c r="Q68" s="221">
        <v>4500</v>
      </c>
      <c r="R68" s="211">
        <v>180</v>
      </c>
      <c r="S68" s="211">
        <v>520</v>
      </c>
      <c r="T68" s="213">
        <v>10.08</v>
      </c>
      <c r="U68" s="211">
        <v>181.44</v>
      </c>
      <c r="V68" s="211">
        <v>44.7</v>
      </c>
      <c r="W68" s="211">
        <v>21</v>
      </c>
      <c r="X68" s="211">
        <v>247.14</v>
      </c>
      <c r="Y68" s="211">
        <v>10.08</v>
      </c>
      <c r="Z68" s="211">
        <v>12.096</v>
      </c>
      <c r="AA68" s="211">
        <v>0.05</v>
      </c>
      <c r="AB68" s="211">
        <v>64</v>
      </c>
      <c r="AC68" s="213"/>
    </row>
    <row r="69" spans="1:29" s="947" customFormat="1" ht="18" customHeight="1">
      <c r="A69" s="927">
        <v>66</v>
      </c>
      <c r="B69" s="655" t="s">
        <v>2210</v>
      </c>
      <c r="C69" s="215" t="s">
        <v>2185</v>
      </c>
      <c r="D69" s="215" t="s">
        <v>2234</v>
      </c>
      <c r="E69" s="215">
        <v>1966</v>
      </c>
      <c r="F69" s="215"/>
      <c r="G69" s="215"/>
      <c r="H69" s="215">
        <v>36</v>
      </c>
      <c r="I69" s="62"/>
      <c r="J69" s="62"/>
      <c r="K69" s="62"/>
      <c r="L69" s="62"/>
      <c r="M69" s="62"/>
      <c r="N69" s="211">
        <v>8.35</v>
      </c>
      <c r="O69" s="211">
        <v>0.9</v>
      </c>
      <c r="P69" s="211">
        <v>80</v>
      </c>
      <c r="Q69" s="221"/>
      <c r="R69" s="211"/>
      <c r="S69" s="211"/>
      <c r="T69" s="211"/>
      <c r="U69" s="212">
        <v>150.29999999999998</v>
      </c>
      <c r="V69" s="212">
        <v>2.4</v>
      </c>
      <c r="W69" s="212">
        <v>0</v>
      </c>
      <c r="X69" s="211">
        <v>152.7</v>
      </c>
      <c r="Y69" s="211">
        <v>8.35</v>
      </c>
      <c r="Z69" s="211">
        <v>10.02</v>
      </c>
      <c r="AA69" s="211">
        <v>0.0205</v>
      </c>
      <c r="AB69" s="212"/>
      <c r="AC69" s="212"/>
    </row>
    <row r="70" spans="1:29" s="947" customFormat="1" ht="18" customHeight="1">
      <c r="A70" s="927">
        <v>67</v>
      </c>
      <c r="B70" s="655" t="s">
        <v>2211</v>
      </c>
      <c r="C70" s="215" t="s">
        <v>2260</v>
      </c>
      <c r="D70" s="215" t="s">
        <v>2234</v>
      </c>
      <c r="E70" s="215">
        <v>1998</v>
      </c>
      <c r="F70" s="215"/>
      <c r="G70" s="215"/>
      <c r="H70" s="215">
        <v>11</v>
      </c>
      <c r="I70" s="62"/>
      <c r="J70" s="62"/>
      <c r="K70" s="62"/>
      <c r="L70" s="62"/>
      <c r="M70" s="62"/>
      <c r="N70" s="211">
        <v>3.5</v>
      </c>
      <c r="O70" s="211">
        <v>0.85</v>
      </c>
      <c r="P70" s="211">
        <v>60</v>
      </c>
      <c r="Q70" s="221"/>
      <c r="R70" s="211"/>
      <c r="S70" s="211"/>
      <c r="T70" s="211"/>
      <c r="U70" s="212">
        <v>63</v>
      </c>
      <c r="V70" s="212">
        <v>1.8</v>
      </c>
      <c r="W70" s="212">
        <v>0</v>
      </c>
      <c r="X70" s="211">
        <v>64.8</v>
      </c>
      <c r="Y70" s="211">
        <v>3.5</v>
      </c>
      <c r="Z70" s="211">
        <v>4.2</v>
      </c>
      <c r="AA70" s="211">
        <v>0.008</v>
      </c>
      <c r="AB70" s="212"/>
      <c r="AC70" s="212"/>
    </row>
    <row r="71" spans="1:29" s="947" customFormat="1" ht="18" customHeight="1">
      <c r="A71" s="927">
        <v>68</v>
      </c>
      <c r="B71" s="655" t="s">
        <v>2212</v>
      </c>
      <c r="C71" s="215" t="s">
        <v>2261</v>
      </c>
      <c r="D71" s="215" t="s">
        <v>2234</v>
      </c>
      <c r="E71" s="215">
        <v>1964</v>
      </c>
      <c r="F71" s="215"/>
      <c r="G71" s="215"/>
      <c r="H71" s="215">
        <v>30</v>
      </c>
      <c r="I71" s="62"/>
      <c r="J71" s="62"/>
      <c r="K71" s="62"/>
      <c r="L71" s="62"/>
      <c r="M71" s="62"/>
      <c r="N71" s="211">
        <v>11.8</v>
      </c>
      <c r="O71" s="211">
        <v>0.8</v>
      </c>
      <c r="P71" s="211">
        <v>47.7</v>
      </c>
      <c r="Q71" s="221"/>
      <c r="R71" s="211"/>
      <c r="S71" s="211"/>
      <c r="T71" s="211"/>
      <c r="U71" s="212">
        <v>212.4</v>
      </c>
      <c r="V71" s="212">
        <v>1.431</v>
      </c>
      <c r="W71" s="212">
        <v>0</v>
      </c>
      <c r="X71" s="211">
        <v>213.83100000000002</v>
      </c>
      <c r="Y71" s="211">
        <v>11.8</v>
      </c>
      <c r="Z71" s="211">
        <v>14.16</v>
      </c>
      <c r="AA71" s="211">
        <v>0.0297</v>
      </c>
      <c r="AB71" s="212"/>
      <c r="AC71" s="212"/>
    </row>
    <row r="72" spans="1:29" s="947" customFormat="1" ht="18" customHeight="1">
      <c r="A72" s="927">
        <v>69</v>
      </c>
      <c r="B72" s="942" t="s">
        <v>2213</v>
      </c>
      <c r="C72" s="215" t="s">
        <v>2301</v>
      </c>
      <c r="D72" s="215" t="s">
        <v>2234</v>
      </c>
      <c r="E72" s="215">
        <v>1968</v>
      </c>
      <c r="F72" s="215"/>
      <c r="G72" s="215"/>
      <c r="H72" s="215">
        <v>16.5</v>
      </c>
      <c r="I72" s="62"/>
      <c r="J72" s="62"/>
      <c r="K72" s="62"/>
      <c r="L72" s="62"/>
      <c r="M72" s="62"/>
      <c r="N72" s="211">
        <v>9</v>
      </c>
      <c r="O72" s="211">
        <v>0.65</v>
      </c>
      <c r="P72" s="211">
        <v>310</v>
      </c>
      <c r="Q72" s="221">
        <v>3200</v>
      </c>
      <c r="R72" s="211"/>
      <c r="S72" s="211"/>
      <c r="T72" s="211"/>
      <c r="U72" s="212">
        <v>162</v>
      </c>
      <c r="V72" s="212">
        <v>34.9</v>
      </c>
      <c r="W72" s="212">
        <v>0</v>
      </c>
      <c r="X72" s="211">
        <v>196.9</v>
      </c>
      <c r="Y72" s="211">
        <v>9</v>
      </c>
      <c r="Z72" s="211">
        <v>10.799999999999999</v>
      </c>
      <c r="AA72" s="211">
        <v>0.036</v>
      </c>
      <c r="AB72" s="212"/>
      <c r="AC72" s="212"/>
    </row>
    <row r="73" spans="1:29" s="947" customFormat="1" ht="18" customHeight="1">
      <c r="A73" s="927">
        <v>70</v>
      </c>
      <c r="B73" s="655" t="s">
        <v>2214</v>
      </c>
      <c r="C73" s="215" t="s">
        <v>2167</v>
      </c>
      <c r="D73" s="215" t="s">
        <v>2234</v>
      </c>
      <c r="E73" s="215">
        <v>1968</v>
      </c>
      <c r="F73" s="215"/>
      <c r="G73" s="215"/>
      <c r="H73" s="215">
        <v>12.28</v>
      </c>
      <c r="I73" s="62"/>
      <c r="J73" s="62"/>
      <c r="K73" s="62"/>
      <c r="L73" s="62"/>
      <c r="M73" s="62"/>
      <c r="N73" s="211">
        <v>3.98</v>
      </c>
      <c r="O73" s="211">
        <v>0.5</v>
      </c>
      <c r="P73" s="211">
        <v>330</v>
      </c>
      <c r="Q73" s="221">
        <v>3500</v>
      </c>
      <c r="R73" s="211">
        <v>270</v>
      </c>
      <c r="S73" s="211">
        <v>470</v>
      </c>
      <c r="T73" s="213">
        <v>3.98</v>
      </c>
      <c r="U73" s="213">
        <v>71.64</v>
      </c>
      <c r="V73" s="213">
        <v>37.9</v>
      </c>
      <c r="W73" s="213">
        <v>22.2</v>
      </c>
      <c r="X73" s="211">
        <v>131.73999999999998</v>
      </c>
      <c r="Y73" s="211">
        <v>3.98</v>
      </c>
      <c r="Z73" s="211">
        <v>4.776</v>
      </c>
      <c r="AA73" s="211">
        <v>0.03</v>
      </c>
      <c r="AB73" s="213">
        <v>38</v>
      </c>
      <c r="AC73" s="213">
        <v>0</v>
      </c>
    </row>
    <row r="74" spans="1:29" s="947" customFormat="1" ht="18" customHeight="1">
      <c r="A74" s="927">
        <v>71</v>
      </c>
      <c r="B74" s="655" t="s">
        <v>2215</v>
      </c>
      <c r="C74" s="215" t="s">
        <v>2164</v>
      </c>
      <c r="D74" s="215" t="s">
        <v>2234</v>
      </c>
      <c r="E74" s="215">
        <v>1998</v>
      </c>
      <c r="F74" s="8"/>
      <c r="G74" s="8"/>
      <c r="H74" s="8">
        <v>24.4</v>
      </c>
      <c r="I74" s="8"/>
      <c r="J74" s="8"/>
      <c r="K74" s="8"/>
      <c r="L74" s="8"/>
      <c r="M74" s="8"/>
      <c r="N74" s="14">
        <v>7.6</v>
      </c>
      <c r="O74" s="14">
        <v>0.4</v>
      </c>
      <c r="P74" s="14">
        <v>370</v>
      </c>
      <c r="Q74" s="501">
        <v>3600</v>
      </c>
      <c r="R74" s="14">
        <v>310</v>
      </c>
      <c r="S74" s="14">
        <v>440</v>
      </c>
      <c r="T74" s="14">
        <v>7.6</v>
      </c>
      <c r="U74" s="307">
        <v>136.79999999999998</v>
      </c>
      <c r="V74" s="214">
        <v>39.9</v>
      </c>
      <c r="W74" s="14">
        <v>22.5</v>
      </c>
      <c r="X74" s="14">
        <v>199.2</v>
      </c>
      <c r="Y74" s="14">
        <v>7.6</v>
      </c>
      <c r="Z74" s="14">
        <v>9.12</v>
      </c>
      <c r="AA74" s="14">
        <v>0.05</v>
      </c>
      <c r="AB74" s="14">
        <v>51</v>
      </c>
      <c r="AC74" s="307">
        <v>0</v>
      </c>
    </row>
    <row r="75" spans="1:29" s="947" customFormat="1" ht="18" customHeight="1">
      <c r="A75" s="927">
        <v>72</v>
      </c>
      <c r="B75" s="655" t="s">
        <v>2216</v>
      </c>
      <c r="C75" s="215" t="s">
        <v>2168</v>
      </c>
      <c r="D75" s="215" t="s">
        <v>2234</v>
      </c>
      <c r="E75" s="215">
        <v>1966</v>
      </c>
      <c r="F75" s="8"/>
      <c r="G75" s="8"/>
      <c r="H75" s="215">
        <v>10</v>
      </c>
      <c r="I75" s="8"/>
      <c r="J75" s="8"/>
      <c r="K75" s="8"/>
      <c r="L75" s="8"/>
      <c r="M75" s="8"/>
      <c r="N75" s="14">
        <v>3.41</v>
      </c>
      <c r="O75" s="14">
        <v>0.5</v>
      </c>
      <c r="P75" s="14">
        <v>350</v>
      </c>
      <c r="Q75" s="501">
        <v>3100</v>
      </c>
      <c r="R75" s="14">
        <v>280</v>
      </c>
      <c r="S75" s="14">
        <v>470</v>
      </c>
      <c r="T75" s="14">
        <v>3.41</v>
      </c>
      <c r="U75" s="307">
        <v>61.38</v>
      </c>
      <c r="V75" s="214">
        <v>35.3</v>
      </c>
      <c r="W75" s="14">
        <v>22.5</v>
      </c>
      <c r="X75" s="14">
        <v>119.18</v>
      </c>
      <c r="Y75" s="14">
        <v>3.41</v>
      </c>
      <c r="Z75" s="14">
        <v>4.092</v>
      </c>
      <c r="AA75" s="14">
        <v>0.02</v>
      </c>
      <c r="AB75" s="14">
        <v>36</v>
      </c>
      <c r="AC75" s="948">
        <v>0</v>
      </c>
    </row>
    <row r="76" spans="1:29" s="947" customFormat="1" ht="18" customHeight="1">
      <c r="A76" s="927">
        <v>73</v>
      </c>
      <c r="B76" s="655" t="s">
        <v>2262</v>
      </c>
      <c r="C76" s="215" t="s">
        <v>2168</v>
      </c>
      <c r="D76" s="215" t="s">
        <v>2234</v>
      </c>
      <c r="E76" s="215">
        <v>1988</v>
      </c>
      <c r="F76" s="8"/>
      <c r="G76" s="8"/>
      <c r="H76" s="215">
        <v>12</v>
      </c>
      <c r="I76" s="8"/>
      <c r="J76" s="8"/>
      <c r="K76" s="8"/>
      <c r="L76" s="8"/>
      <c r="M76" s="8"/>
      <c r="N76" s="14">
        <v>6.35</v>
      </c>
      <c r="O76" s="14">
        <v>0.6</v>
      </c>
      <c r="P76" s="14">
        <v>280</v>
      </c>
      <c r="Q76" s="501">
        <v>3500</v>
      </c>
      <c r="R76" s="14">
        <v>260</v>
      </c>
      <c r="S76" s="14">
        <v>420</v>
      </c>
      <c r="T76" s="14">
        <v>6.35</v>
      </c>
      <c r="U76" s="307">
        <v>114.3</v>
      </c>
      <c r="V76" s="214">
        <v>36.4</v>
      </c>
      <c r="W76" s="14">
        <v>20.4</v>
      </c>
      <c r="X76" s="14">
        <v>171.1</v>
      </c>
      <c r="Y76" s="14">
        <v>6.35</v>
      </c>
      <c r="Z76" s="14">
        <v>7.619999999999999</v>
      </c>
      <c r="AA76" s="14">
        <v>0.03</v>
      </c>
      <c r="AB76" s="14">
        <v>39</v>
      </c>
      <c r="AC76" s="948">
        <v>0</v>
      </c>
    </row>
    <row r="77" spans="1:29" s="947" customFormat="1" ht="18" customHeight="1">
      <c r="A77" s="927">
        <v>74</v>
      </c>
      <c r="B77" s="655" t="s">
        <v>2217</v>
      </c>
      <c r="C77" s="215" t="s">
        <v>2168</v>
      </c>
      <c r="D77" s="215" t="s">
        <v>2234</v>
      </c>
      <c r="E77" s="215">
        <v>1978</v>
      </c>
      <c r="F77" s="8"/>
      <c r="G77" s="8"/>
      <c r="H77" s="215">
        <v>14</v>
      </c>
      <c r="I77" s="8"/>
      <c r="J77" s="8"/>
      <c r="K77" s="8"/>
      <c r="L77" s="8"/>
      <c r="M77" s="8"/>
      <c r="N77" s="14">
        <v>6.3</v>
      </c>
      <c r="O77" s="14">
        <v>0.5</v>
      </c>
      <c r="P77" s="14">
        <v>300</v>
      </c>
      <c r="Q77" s="501">
        <v>3700</v>
      </c>
      <c r="R77" s="14">
        <v>210</v>
      </c>
      <c r="S77" s="14">
        <v>430</v>
      </c>
      <c r="T77" s="14">
        <v>6.3</v>
      </c>
      <c r="U77" s="307">
        <v>113.39999999999999</v>
      </c>
      <c r="V77" s="214">
        <v>38.6</v>
      </c>
      <c r="W77" s="14">
        <v>19.2</v>
      </c>
      <c r="X77" s="14">
        <v>171.2</v>
      </c>
      <c r="Y77" s="14">
        <v>6.3</v>
      </c>
      <c r="Z77" s="14">
        <v>7.56</v>
      </c>
      <c r="AA77" s="14">
        <v>0.3</v>
      </c>
      <c r="AB77" s="14">
        <v>33</v>
      </c>
      <c r="AC77" s="948">
        <v>0</v>
      </c>
    </row>
    <row r="78" spans="1:29" s="947" customFormat="1" ht="18" customHeight="1">
      <c r="A78" s="927">
        <v>75</v>
      </c>
      <c r="B78" s="655" t="s">
        <v>2218</v>
      </c>
      <c r="C78" s="215" t="s">
        <v>2173</v>
      </c>
      <c r="D78" s="215" t="s">
        <v>2234</v>
      </c>
      <c r="E78" s="215">
        <v>2010</v>
      </c>
      <c r="F78" s="215"/>
      <c r="G78" s="949"/>
      <c r="H78" s="949">
        <v>21.75</v>
      </c>
      <c r="I78" s="950"/>
      <c r="J78" s="950"/>
      <c r="K78" s="950"/>
      <c r="L78" s="950"/>
      <c r="M78" s="950"/>
      <c r="N78" s="211">
        <v>0.425</v>
      </c>
      <c r="O78" s="211">
        <v>1</v>
      </c>
      <c r="P78" s="211">
        <v>138.125</v>
      </c>
      <c r="Q78" s="221">
        <v>51</v>
      </c>
      <c r="R78" s="211">
        <v>42.5</v>
      </c>
      <c r="S78" s="211">
        <v>12.75</v>
      </c>
      <c r="T78" s="211">
        <v>0.075</v>
      </c>
      <c r="U78" s="211">
        <v>7.6499999999999995</v>
      </c>
      <c r="V78" s="211">
        <v>4.55175</v>
      </c>
      <c r="W78" s="211">
        <v>1.6575</v>
      </c>
      <c r="X78" s="211">
        <v>32.801275000000004</v>
      </c>
      <c r="Y78" s="211">
        <v>0.425</v>
      </c>
      <c r="Z78" s="211">
        <v>0.51</v>
      </c>
      <c r="AA78" s="211">
        <v>0.0016666666666666668</v>
      </c>
      <c r="AB78" s="211">
        <v>5.287896592244419</v>
      </c>
      <c r="AC78" s="212">
        <v>0.22499999999999998</v>
      </c>
    </row>
    <row r="79" spans="1:29" s="947" customFormat="1" ht="18" customHeight="1">
      <c r="A79" s="927">
        <v>76</v>
      </c>
      <c r="B79" s="655" t="s">
        <v>2219</v>
      </c>
      <c r="C79" s="215" t="s">
        <v>2186</v>
      </c>
      <c r="D79" s="215" t="s">
        <v>2234</v>
      </c>
      <c r="E79" s="215">
        <v>1998</v>
      </c>
      <c r="F79" s="215"/>
      <c r="G79" s="949"/>
      <c r="H79" s="949">
        <v>11</v>
      </c>
      <c r="I79" s="950"/>
      <c r="J79" s="950"/>
      <c r="K79" s="950"/>
      <c r="L79" s="950"/>
      <c r="M79" s="950"/>
      <c r="N79" s="211">
        <v>3.9</v>
      </c>
      <c r="O79" s="211">
        <v>0.95</v>
      </c>
      <c r="P79" s="211">
        <v>60</v>
      </c>
      <c r="Q79" s="221"/>
      <c r="R79" s="211"/>
      <c r="S79" s="211"/>
      <c r="T79" s="211"/>
      <c r="U79" s="211">
        <v>70.2</v>
      </c>
      <c r="V79" s="211">
        <v>1.8</v>
      </c>
      <c r="W79" s="211">
        <v>0</v>
      </c>
      <c r="X79" s="211">
        <v>110.88</v>
      </c>
      <c r="Y79" s="211">
        <v>3.9</v>
      </c>
      <c r="Z79" s="211">
        <v>4.68</v>
      </c>
      <c r="AA79" s="211">
        <v>0.0096</v>
      </c>
      <c r="AB79" s="211"/>
      <c r="AC79" s="212"/>
    </row>
    <row r="80" spans="1:29" s="947" customFormat="1" ht="18" customHeight="1">
      <c r="A80" s="927">
        <v>77</v>
      </c>
      <c r="B80" s="655" t="s">
        <v>2220</v>
      </c>
      <c r="C80" s="215" t="s">
        <v>2264</v>
      </c>
      <c r="D80" s="215" t="s">
        <v>2234</v>
      </c>
      <c r="E80" s="215">
        <v>1990</v>
      </c>
      <c r="F80" s="215"/>
      <c r="G80" s="949"/>
      <c r="H80" s="949">
        <v>23.6</v>
      </c>
      <c r="I80" s="950"/>
      <c r="J80" s="950"/>
      <c r="K80" s="950"/>
      <c r="L80" s="950"/>
      <c r="M80" s="950"/>
      <c r="N80" s="211">
        <v>8.45</v>
      </c>
      <c r="O80" s="211">
        <v>0.9</v>
      </c>
      <c r="P80" s="211">
        <v>60</v>
      </c>
      <c r="Q80" s="221"/>
      <c r="R80" s="211"/>
      <c r="S80" s="211"/>
      <c r="T80" s="211"/>
      <c r="U80" s="211">
        <v>152.1</v>
      </c>
      <c r="V80" s="211">
        <v>1.8</v>
      </c>
      <c r="W80" s="211">
        <v>0</v>
      </c>
      <c r="X80" s="211">
        <v>153.78</v>
      </c>
      <c r="Y80" s="211">
        <v>8.45</v>
      </c>
      <c r="Z80" s="211">
        <v>10.139999999999999</v>
      </c>
      <c r="AA80" s="211">
        <v>0.021</v>
      </c>
      <c r="AB80" s="211"/>
      <c r="AC80" s="211"/>
    </row>
    <row r="81" spans="1:29" s="947" customFormat="1" ht="18" customHeight="1">
      <c r="A81" s="927">
        <v>78</v>
      </c>
      <c r="B81" s="655" t="s">
        <v>2221</v>
      </c>
      <c r="C81" s="215" t="s">
        <v>2265</v>
      </c>
      <c r="D81" s="215" t="s">
        <v>2234</v>
      </c>
      <c r="E81" s="215">
        <v>1974</v>
      </c>
      <c r="F81" s="215"/>
      <c r="G81" s="949"/>
      <c r="H81" s="949">
        <v>12</v>
      </c>
      <c r="I81" s="950"/>
      <c r="J81" s="950"/>
      <c r="K81" s="950"/>
      <c r="L81" s="950"/>
      <c r="M81" s="950"/>
      <c r="N81" s="211">
        <v>4.48</v>
      </c>
      <c r="O81" s="211">
        <v>1</v>
      </c>
      <c r="P81" s="211">
        <v>60</v>
      </c>
      <c r="Q81" s="221"/>
      <c r="R81" s="211"/>
      <c r="S81" s="211"/>
      <c r="T81" s="211"/>
      <c r="U81" s="211">
        <v>80.64000000000001</v>
      </c>
      <c r="V81" s="211">
        <v>1.8</v>
      </c>
      <c r="W81" s="211">
        <v>0</v>
      </c>
      <c r="X81" s="211">
        <v>82.32</v>
      </c>
      <c r="Y81" s="211">
        <v>4.48</v>
      </c>
      <c r="Z81" s="211">
        <v>5.376</v>
      </c>
      <c r="AA81" s="211">
        <v>0.0112</v>
      </c>
      <c r="AB81" s="211"/>
      <c r="AC81" s="211"/>
    </row>
    <row r="82" spans="1:29" s="947" customFormat="1" ht="18" customHeight="1">
      <c r="A82" s="927">
        <v>79</v>
      </c>
      <c r="B82" s="655" t="s">
        <v>2263</v>
      </c>
      <c r="C82" s="215" t="s">
        <v>2265</v>
      </c>
      <c r="D82" s="215" t="s">
        <v>2234</v>
      </c>
      <c r="E82" s="215">
        <v>1997</v>
      </c>
      <c r="F82" s="215"/>
      <c r="G82" s="949"/>
      <c r="H82" s="949">
        <v>12</v>
      </c>
      <c r="I82" s="950"/>
      <c r="J82" s="950"/>
      <c r="K82" s="950"/>
      <c r="L82" s="950"/>
      <c r="M82" s="950"/>
      <c r="N82" s="211">
        <v>2.64</v>
      </c>
      <c r="O82" s="211">
        <v>0.95</v>
      </c>
      <c r="P82" s="211">
        <v>60</v>
      </c>
      <c r="Q82" s="221"/>
      <c r="R82" s="211"/>
      <c r="S82" s="211"/>
      <c r="T82" s="211"/>
      <c r="U82" s="211">
        <v>47.52</v>
      </c>
      <c r="V82" s="211">
        <v>1.8</v>
      </c>
      <c r="W82" s="211">
        <v>0</v>
      </c>
      <c r="X82" s="211">
        <v>49.2</v>
      </c>
      <c r="Y82" s="211">
        <v>2.64</v>
      </c>
      <c r="Z82" s="211">
        <v>3.168</v>
      </c>
      <c r="AA82" s="211">
        <v>0.0066</v>
      </c>
      <c r="AB82" s="211"/>
      <c r="AC82" s="212"/>
    </row>
    <row r="83" spans="1:29" s="947" customFormat="1" ht="18" customHeight="1">
      <c r="A83" s="927">
        <v>80</v>
      </c>
      <c r="B83" s="655" t="s">
        <v>2222</v>
      </c>
      <c r="C83" s="215" t="s">
        <v>2265</v>
      </c>
      <c r="D83" s="215" t="s">
        <v>2234</v>
      </c>
      <c r="E83" s="215">
        <v>1974</v>
      </c>
      <c r="F83" s="215"/>
      <c r="G83" s="949"/>
      <c r="H83" s="949">
        <v>12</v>
      </c>
      <c r="I83" s="950"/>
      <c r="J83" s="950"/>
      <c r="K83" s="950"/>
      <c r="L83" s="950"/>
      <c r="M83" s="950"/>
      <c r="N83" s="211">
        <v>3.3</v>
      </c>
      <c r="O83" s="211">
        <v>0.9</v>
      </c>
      <c r="P83" s="211">
        <v>60</v>
      </c>
      <c r="Q83" s="221"/>
      <c r="R83" s="211"/>
      <c r="S83" s="211"/>
      <c r="T83" s="211"/>
      <c r="U83" s="211">
        <v>59.4</v>
      </c>
      <c r="V83" s="211">
        <v>1.8</v>
      </c>
      <c r="W83" s="211">
        <v>0</v>
      </c>
      <c r="X83" s="211">
        <v>61.08</v>
      </c>
      <c r="Y83" s="211">
        <v>3.3</v>
      </c>
      <c r="Z83" s="211">
        <v>3.9599999999999995</v>
      </c>
      <c r="AA83" s="211">
        <v>0.0083</v>
      </c>
      <c r="AB83" s="211"/>
      <c r="AC83" s="212"/>
    </row>
    <row r="84" spans="1:29" s="947" customFormat="1" ht="18" customHeight="1">
      <c r="A84" s="927">
        <v>81</v>
      </c>
      <c r="B84" s="655" t="s">
        <v>1618</v>
      </c>
      <c r="C84" s="215" t="s">
        <v>2266</v>
      </c>
      <c r="D84" s="215" t="s">
        <v>2234</v>
      </c>
      <c r="E84" s="215">
        <v>1960</v>
      </c>
      <c r="F84" s="215"/>
      <c r="G84" s="951"/>
      <c r="H84" s="215">
        <v>67.5</v>
      </c>
      <c r="I84" s="950"/>
      <c r="J84" s="950"/>
      <c r="K84" s="950"/>
      <c r="L84" s="950"/>
      <c r="M84" s="950"/>
      <c r="N84" s="211">
        <v>14.21</v>
      </c>
      <c r="O84" s="211">
        <v>2</v>
      </c>
      <c r="P84" s="211">
        <v>132</v>
      </c>
      <c r="Q84" s="221"/>
      <c r="R84" s="211"/>
      <c r="S84" s="211"/>
      <c r="T84" s="211"/>
      <c r="U84" s="211">
        <v>426.3</v>
      </c>
      <c r="V84" s="211">
        <v>3.96</v>
      </c>
      <c r="W84" s="211">
        <v>0</v>
      </c>
      <c r="X84" s="211">
        <v>444.21000000000004</v>
      </c>
      <c r="Y84" s="211">
        <v>14.21</v>
      </c>
      <c r="Z84" s="211">
        <v>17.052</v>
      </c>
      <c r="AA84" s="211">
        <v>0.0355</v>
      </c>
      <c r="AB84" s="211"/>
      <c r="AC84" s="212"/>
    </row>
    <row r="85" spans="1:29" s="947" customFormat="1" ht="18" customHeight="1">
      <c r="A85" s="927">
        <v>82</v>
      </c>
      <c r="B85" s="655" t="s">
        <v>1619</v>
      </c>
      <c r="C85" s="215" t="s">
        <v>2267</v>
      </c>
      <c r="D85" s="215" t="s">
        <v>2234</v>
      </c>
      <c r="E85" s="215">
        <v>1966</v>
      </c>
      <c r="F85" s="215"/>
      <c r="G85" s="949"/>
      <c r="H85" s="215">
        <v>49.5</v>
      </c>
      <c r="I85" s="950"/>
      <c r="J85" s="950"/>
      <c r="K85" s="950"/>
      <c r="L85" s="950"/>
      <c r="M85" s="950"/>
      <c r="N85" s="211">
        <v>1.85</v>
      </c>
      <c r="O85" s="211">
        <v>2.5</v>
      </c>
      <c r="P85" s="211">
        <v>175</v>
      </c>
      <c r="Q85" s="221"/>
      <c r="R85" s="211">
        <v>145</v>
      </c>
      <c r="S85" s="211">
        <v>85</v>
      </c>
      <c r="T85" s="211">
        <v>0.65</v>
      </c>
      <c r="U85" s="211">
        <v>55.5</v>
      </c>
      <c r="V85" s="211">
        <v>5.25</v>
      </c>
      <c r="W85" s="211">
        <v>6.9</v>
      </c>
      <c r="X85" s="211">
        <v>58.087999999999994</v>
      </c>
      <c r="Y85" s="211">
        <v>1.85</v>
      </c>
      <c r="Z85" s="211">
        <v>2.22</v>
      </c>
      <c r="AA85" s="211">
        <v>0.0021</v>
      </c>
      <c r="AB85" s="211"/>
      <c r="AC85" s="212"/>
    </row>
    <row r="86" spans="1:29" s="947" customFormat="1" ht="18" customHeight="1">
      <c r="A86" s="927">
        <v>83</v>
      </c>
      <c r="B86" s="655" t="s">
        <v>2223</v>
      </c>
      <c r="C86" s="217" t="s">
        <v>791</v>
      </c>
      <c r="D86" s="215" t="s">
        <v>2234</v>
      </c>
      <c r="E86" s="215">
        <v>1995</v>
      </c>
      <c r="F86" s="215"/>
      <c r="G86" s="949"/>
      <c r="H86" s="949">
        <v>12</v>
      </c>
      <c r="I86" s="950"/>
      <c r="J86" s="950"/>
      <c r="K86" s="950"/>
      <c r="L86" s="950"/>
      <c r="M86" s="950"/>
      <c r="N86" s="211">
        <v>7</v>
      </c>
      <c r="O86" s="211">
        <v>1</v>
      </c>
      <c r="P86" s="211">
        <v>440</v>
      </c>
      <c r="Q86" s="221">
        <v>5200</v>
      </c>
      <c r="R86" s="211">
        <v>240</v>
      </c>
      <c r="S86" s="211">
        <v>490</v>
      </c>
      <c r="T86" s="211">
        <v>7</v>
      </c>
      <c r="U86" s="211">
        <v>126</v>
      </c>
      <c r="V86" s="211">
        <v>54.8</v>
      </c>
      <c r="W86" s="211">
        <v>21.9</v>
      </c>
      <c r="X86" s="211">
        <v>145.3</v>
      </c>
      <c r="Y86" s="211">
        <v>7</v>
      </c>
      <c r="Z86" s="211">
        <v>8.4</v>
      </c>
      <c r="AA86" s="211">
        <v>0.08</v>
      </c>
      <c r="AB86" s="211">
        <v>58</v>
      </c>
      <c r="AC86" s="212"/>
    </row>
    <row r="87" spans="1:29" s="947" customFormat="1" ht="18" customHeight="1">
      <c r="A87" s="927">
        <v>84</v>
      </c>
      <c r="B87" s="655" t="s">
        <v>2224</v>
      </c>
      <c r="C87" s="217" t="s">
        <v>802</v>
      </c>
      <c r="D87" s="215" t="s">
        <v>2234</v>
      </c>
      <c r="E87" s="215">
        <v>1958</v>
      </c>
      <c r="F87" s="215"/>
      <c r="G87" s="949"/>
      <c r="H87" s="949">
        <v>11</v>
      </c>
      <c r="I87" s="950"/>
      <c r="J87" s="950"/>
      <c r="K87" s="950"/>
      <c r="L87" s="950"/>
      <c r="M87" s="950"/>
      <c r="N87" s="211">
        <v>5.76</v>
      </c>
      <c r="O87" s="211">
        <v>0.8</v>
      </c>
      <c r="P87" s="211">
        <v>360</v>
      </c>
      <c r="Q87" s="221">
        <v>2700</v>
      </c>
      <c r="R87" s="211">
        <v>220</v>
      </c>
      <c r="S87" s="211">
        <v>460</v>
      </c>
      <c r="T87" s="211">
        <v>5.76</v>
      </c>
      <c r="U87" s="211">
        <v>103.67999999999999</v>
      </c>
      <c r="V87" s="211">
        <v>32.400000000000006</v>
      </c>
      <c r="W87" s="211">
        <v>20.4</v>
      </c>
      <c r="X87" s="211">
        <v>120.29999999999998</v>
      </c>
      <c r="Y87" s="211">
        <v>5.76</v>
      </c>
      <c r="Z87" s="211">
        <v>6.912</v>
      </c>
      <c r="AA87" s="211">
        <v>0.02</v>
      </c>
      <c r="AB87" s="211">
        <v>35</v>
      </c>
      <c r="AC87" s="212"/>
    </row>
    <row r="88" spans="1:29" s="947" customFormat="1" ht="18" customHeight="1">
      <c r="A88" s="927">
        <v>85</v>
      </c>
      <c r="B88" s="655" t="s">
        <v>2225</v>
      </c>
      <c r="C88" s="217" t="s">
        <v>805</v>
      </c>
      <c r="D88" s="215" t="s">
        <v>2234</v>
      </c>
      <c r="E88" s="939" t="s">
        <v>2259</v>
      </c>
      <c r="F88" s="215"/>
      <c r="G88" s="949"/>
      <c r="H88" s="215">
        <v>10</v>
      </c>
      <c r="I88" s="950"/>
      <c r="J88" s="950"/>
      <c r="K88" s="950"/>
      <c r="L88" s="950"/>
      <c r="M88" s="950"/>
      <c r="N88" s="211">
        <v>5.76</v>
      </c>
      <c r="O88" s="211">
        <v>0.5</v>
      </c>
      <c r="P88" s="211">
        <v>310</v>
      </c>
      <c r="Q88" s="221">
        <v>3500</v>
      </c>
      <c r="R88" s="211">
        <v>260</v>
      </c>
      <c r="S88" s="211">
        <v>450</v>
      </c>
      <c r="T88" s="211">
        <v>5.76</v>
      </c>
      <c r="U88" s="211">
        <v>103.67999999999999</v>
      </c>
      <c r="V88" s="211">
        <v>37.3</v>
      </c>
      <c r="W88" s="211">
        <v>21.3</v>
      </c>
      <c r="X88" s="211">
        <v>120.49999999999999</v>
      </c>
      <c r="Y88" s="211">
        <v>5.76</v>
      </c>
      <c r="Z88" s="211">
        <v>6.912</v>
      </c>
      <c r="AA88" s="211">
        <v>0.03</v>
      </c>
      <c r="AB88" s="211">
        <v>38</v>
      </c>
      <c r="AC88" s="211"/>
    </row>
    <row r="89" spans="1:29" s="947" customFormat="1" ht="18" customHeight="1">
      <c r="A89" s="927">
        <v>86</v>
      </c>
      <c r="B89" s="655" t="s">
        <v>2226</v>
      </c>
      <c r="C89" s="217" t="s">
        <v>791</v>
      </c>
      <c r="D89" s="215" t="s">
        <v>2234</v>
      </c>
      <c r="E89" s="939" t="s">
        <v>2259</v>
      </c>
      <c r="F89" s="215"/>
      <c r="G89" s="949"/>
      <c r="H89" s="215">
        <v>16.6</v>
      </c>
      <c r="I89" s="950"/>
      <c r="J89" s="950"/>
      <c r="K89" s="950"/>
      <c r="L89" s="950"/>
      <c r="M89" s="950"/>
      <c r="N89" s="211">
        <v>11.52</v>
      </c>
      <c r="O89" s="211">
        <v>0.4</v>
      </c>
      <c r="P89" s="211">
        <v>350</v>
      </c>
      <c r="Q89" s="221">
        <v>3400</v>
      </c>
      <c r="R89" s="211">
        <v>290</v>
      </c>
      <c r="S89" s="211">
        <v>410</v>
      </c>
      <c r="T89" s="211">
        <v>11.52</v>
      </c>
      <c r="U89" s="211">
        <v>207.35999999999999</v>
      </c>
      <c r="V89" s="211">
        <v>37.7</v>
      </c>
      <c r="W89" s="211">
        <v>21</v>
      </c>
      <c r="X89" s="211">
        <v>207.7</v>
      </c>
      <c r="Y89" s="211">
        <v>11.52</v>
      </c>
      <c r="Z89" s="211">
        <v>13.824</v>
      </c>
      <c r="AA89" s="211">
        <v>0.05</v>
      </c>
      <c r="AB89" s="211">
        <v>51</v>
      </c>
      <c r="AC89" s="212"/>
    </row>
    <row r="90" spans="1:29" s="947" customFormat="1" ht="18" customHeight="1">
      <c r="A90" s="927">
        <v>87</v>
      </c>
      <c r="B90" s="210" t="s">
        <v>798</v>
      </c>
      <c r="C90" s="28" t="s">
        <v>2268</v>
      </c>
      <c r="D90" s="215" t="s">
        <v>2234</v>
      </c>
      <c r="E90" s="939" t="s">
        <v>2259</v>
      </c>
      <c r="F90" s="215"/>
      <c r="G90" s="949"/>
      <c r="H90" s="215">
        <v>12</v>
      </c>
      <c r="I90" s="950"/>
      <c r="J90" s="950"/>
      <c r="K90" s="950"/>
      <c r="L90" s="950"/>
      <c r="M90" s="950"/>
      <c r="N90" s="211">
        <v>7.2</v>
      </c>
      <c r="O90" s="211">
        <v>0.5</v>
      </c>
      <c r="P90" s="211">
        <v>340</v>
      </c>
      <c r="Q90" s="221">
        <v>3000</v>
      </c>
      <c r="R90" s="211">
        <v>260</v>
      </c>
      <c r="S90" s="211">
        <v>470</v>
      </c>
      <c r="T90" s="211">
        <v>7.2</v>
      </c>
      <c r="U90" s="211">
        <v>129.6</v>
      </c>
      <c r="V90" s="211">
        <v>34.2</v>
      </c>
      <c r="W90" s="211">
        <v>21.9</v>
      </c>
      <c r="X90" s="211">
        <v>143.1</v>
      </c>
      <c r="Y90" s="211">
        <v>7.2</v>
      </c>
      <c r="Z90" s="211">
        <v>8.64</v>
      </c>
      <c r="AA90" s="211">
        <v>0.02</v>
      </c>
      <c r="AB90" s="211">
        <v>36</v>
      </c>
      <c r="AC90" s="212"/>
    </row>
    <row r="91" spans="1:29" s="947" customFormat="1" ht="18" customHeight="1">
      <c r="A91" s="927">
        <v>88</v>
      </c>
      <c r="B91" s="208" t="s">
        <v>1435</v>
      </c>
      <c r="C91" s="215" t="s">
        <v>2269</v>
      </c>
      <c r="D91" s="215" t="s">
        <v>2234</v>
      </c>
      <c r="E91" s="939" t="s">
        <v>2273</v>
      </c>
      <c r="F91" s="215"/>
      <c r="G91" s="951"/>
      <c r="H91" s="215">
        <v>12</v>
      </c>
      <c r="I91" s="950"/>
      <c r="J91" s="950"/>
      <c r="K91" s="950"/>
      <c r="L91" s="950"/>
      <c r="M91" s="950"/>
      <c r="N91" s="211">
        <v>7.4</v>
      </c>
      <c r="O91" s="211">
        <v>0.6</v>
      </c>
      <c r="P91" s="211">
        <v>280</v>
      </c>
      <c r="Q91" s="221">
        <v>3500</v>
      </c>
      <c r="R91" s="211">
        <v>250</v>
      </c>
      <c r="S91" s="211">
        <v>400</v>
      </c>
      <c r="T91" s="211">
        <v>7.4</v>
      </c>
      <c r="U91" s="211">
        <v>133.20000000000002</v>
      </c>
      <c r="V91" s="211">
        <v>36.4</v>
      </c>
      <c r="W91" s="211">
        <v>19.5</v>
      </c>
      <c r="X91" s="211">
        <v>142.4</v>
      </c>
      <c r="Y91" s="211">
        <v>7.4</v>
      </c>
      <c r="Z91" s="211">
        <v>8.88</v>
      </c>
      <c r="AA91" s="211">
        <v>0.03</v>
      </c>
      <c r="AB91" s="211">
        <v>39</v>
      </c>
      <c r="AC91" s="211"/>
    </row>
    <row r="92" spans="1:29" s="947" customFormat="1" ht="18" customHeight="1">
      <c r="A92" s="927">
        <v>89</v>
      </c>
      <c r="B92" s="208" t="s">
        <v>1436</v>
      </c>
      <c r="C92" s="215" t="s">
        <v>2270</v>
      </c>
      <c r="D92" s="215" t="s">
        <v>2234</v>
      </c>
      <c r="E92" s="939" t="s">
        <v>2274</v>
      </c>
      <c r="F92" s="215"/>
      <c r="G92" s="949"/>
      <c r="H92" s="215">
        <v>12</v>
      </c>
      <c r="I92" s="950"/>
      <c r="J92" s="950"/>
      <c r="K92" s="950"/>
      <c r="L92" s="950"/>
      <c r="M92" s="950"/>
      <c r="N92" s="211">
        <v>4.8</v>
      </c>
      <c r="O92" s="211">
        <v>0.5</v>
      </c>
      <c r="P92" s="211">
        <v>300</v>
      </c>
      <c r="Q92" s="221">
        <v>3500</v>
      </c>
      <c r="R92" s="211">
        <v>190</v>
      </c>
      <c r="S92" s="211">
        <v>420</v>
      </c>
      <c r="T92" s="211">
        <v>4.8</v>
      </c>
      <c r="U92" s="211">
        <v>86.39999999999999</v>
      </c>
      <c r="V92" s="211">
        <v>37</v>
      </c>
      <c r="W92" s="211">
        <v>18.3</v>
      </c>
      <c r="X92" s="211">
        <v>102.8</v>
      </c>
      <c r="Y92" s="211">
        <v>4.8</v>
      </c>
      <c r="Z92" s="211">
        <v>5.76</v>
      </c>
      <c r="AA92" s="211">
        <v>0.3</v>
      </c>
      <c r="AB92" s="211">
        <v>33</v>
      </c>
      <c r="AC92" s="211"/>
    </row>
    <row r="93" spans="1:29" s="947" customFormat="1" ht="18" customHeight="1">
      <c r="A93" s="927">
        <v>90</v>
      </c>
      <c r="B93" s="208" t="s">
        <v>1437</v>
      </c>
      <c r="C93" s="215" t="s">
        <v>2271</v>
      </c>
      <c r="D93" s="215" t="s">
        <v>2234</v>
      </c>
      <c r="E93" s="939" t="s">
        <v>2273</v>
      </c>
      <c r="F93" s="215"/>
      <c r="G93" s="951"/>
      <c r="H93" s="215">
        <v>16</v>
      </c>
      <c r="I93" s="950"/>
      <c r="J93" s="950"/>
      <c r="K93" s="950"/>
      <c r="L93" s="950"/>
      <c r="M93" s="950"/>
      <c r="N93" s="211">
        <v>8.88</v>
      </c>
      <c r="O93" s="211">
        <v>1</v>
      </c>
      <c r="P93" s="211">
        <v>300</v>
      </c>
      <c r="Q93" s="221">
        <v>3000</v>
      </c>
      <c r="R93" s="211">
        <v>200</v>
      </c>
      <c r="S93" s="211">
        <v>400</v>
      </c>
      <c r="T93" s="211">
        <v>8.88</v>
      </c>
      <c r="U93" s="211">
        <v>159.84</v>
      </c>
      <c r="V93" s="211">
        <v>33</v>
      </c>
      <c r="W93" s="211">
        <v>18</v>
      </c>
      <c r="X93" s="211">
        <v>163</v>
      </c>
      <c r="Y93" s="211">
        <v>8.88</v>
      </c>
      <c r="Z93" s="211">
        <v>10.656</v>
      </c>
      <c r="AA93" s="211">
        <v>0.03</v>
      </c>
      <c r="AB93" s="211">
        <v>38</v>
      </c>
      <c r="AC93" s="211"/>
    </row>
    <row r="94" spans="1:29" s="947" customFormat="1" ht="18" customHeight="1">
      <c r="A94" s="927">
        <v>91</v>
      </c>
      <c r="B94" s="209" t="s">
        <v>1438</v>
      </c>
      <c r="C94" s="215" t="s">
        <v>2272</v>
      </c>
      <c r="D94" s="215" t="s">
        <v>2234</v>
      </c>
      <c r="E94" s="939" t="s">
        <v>2259</v>
      </c>
      <c r="F94" s="215"/>
      <c r="G94" s="949"/>
      <c r="H94" s="215">
        <v>12</v>
      </c>
      <c r="I94" s="950"/>
      <c r="J94" s="950"/>
      <c r="K94" s="950"/>
      <c r="L94" s="950"/>
      <c r="M94" s="950"/>
      <c r="N94" s="211">
        <v>5.76</v>
      </c>
      <c r="O94" s="211">
        <v>1</v>
      </c>
      <c r="P94" s="211">
        <v>300</v>
      </c>
      <c r="Q94" s="221">
        <v>3000</v>
      </c>
      <c r="R94" s="211">
        <v>200</v>
      </c>
      <c r="S94" s="211">
        <v>400</v>
      </c>
      <c r="T94" s="211">
        <v>5.76</v>
      </c>
      <c r="U94" s="211">
        <v>103.67999999999999</v>
      </c>
      <c r="V94" s="211">
        <v>33</v>
      </c>
      <c r="W94" s="211">
        <v>18</v>
      </c>
      <c r="X94" s="211">
        <v>110.2</v>
      </c>
      <c r="Y94" s="211">
        <v>5.76</v>
      </c>
      <c r="Z94" s="211">
        <v>6.912</v>
      </c>
      <c r="AA94" s="211">
        <v>0.05</v>
      </c>
      <c r="AB94" s="211">
        <v>51</v>
      </c>
      <c r="AC94" s="212"/>
    </row>
    <row r="95" spans="1:29" s="947" customFormat="1" ht="18" customHeight="1">
      <c r="A95" s="927">
        <v>92</v>
      </c>
      <c r="B95" s="942" t="s">
        <v>2227</v>
      </c>
      <c r="C95" s="215" t="s">
        <v>2275</v>
      </c>
      <c r="D95" s="215" t="s">
        <v>1385</v>
      </c>
      <c r="E95" s="215">
        <v>1970</v>
      </c>
      <c r="F95" s="215"/>
      <c r="G95" s="949"/>
      <c r="H95" s="941">
        <v>15.6</v>
      </c>
      <c r="I95" s="950"/>
      <c r="J95" s="950"/>
      <c r="K95" s="950"/>
      <c r="L95" s="950"/>
      <c r="M95" s="950"/>
      <c r="N95" s="211">
        <v>9.12</v>
      </c>
      <c r="O95" s="211">
        <v>0.85</v>
      </c>
      <c r="P95" s="211">
        <v>250</v>
      </c>
      <c r="Q95" s="221">
        <v>1500</v>
      </c>
      <c r="R95" s="211"/>
      <c r="S95" s="211"/>
      <c r="T95" s="211"/>
      <c r="U95" s="211">
        <v>164.16</v>
      </c>
      <c r="V95" s="211">
        <v>19.5</v>
      </c>
      <c r="W95" s="211">
        <v>0</v>
      </c>
      <c r="X95" s="211">
        <v>183.66</v>
      </c>
      <c r="Y95" s="211">
        <v>9.12</v>
      </c>
      <c r="Z95" s="211">
        <v>10.943999999999999</v>
      </c>
      <c r="AA95" s="211">
        <v>0.03648</v>
      </c>
      <c r="AB95" s="211">
        <v>5</v>
      </c>
      <c r="AC95" s="211">
        <v>6</v>
      </c>
    </row>
    <row r="96" spans="1:29" s="947" customFormat="1" ht="18" customHeight="1">
      <c r="A96" s="927">
        <v>93</v>
      </c>
      <c r="B96" s="942" t="s">
        <v>2228</v>
      </c>
      <c r="C96" s="215" t="s">
        <v>2275</v>
      </c>
      <c r="D96" s="215" t="s">
        <v>1385</v>
      </c>
      <c r="E96" s="215">
        <v>1970</v>
      </c>
      <c r="F96" s="215"/>
      <c r="G96" s="949"/>
      <c r="H96" s="941">
        <v>11</v>
      </c>
      <c r="I96" s="950"/>
      <c r="J96" s="950"/>
      <c r="K96" s="950"/>
      <c r="L96" s="950"/>
      <c r="M96" s="950"/>
      <c r="N96" s="211">
        <v>2.14</v>
      </c>
      <c r="O96" s="211">
        <v>0.5</v>
      </c>
      <c r="P96" s="211">
        <v>151</v>
      </c>
      <c r="Q96" s="221">
        <v>1100</v>
      </c>
      <c r="R96" s="211"/>
      <c r="S96" s="211"/>
      <c r="T96" s="211"/>
      <c r="U96" s="211">
        <v>38.52</v>
      </c>
      <c r="V96" s="211">
        <v>13.330000000000002</v>
      </c>
      <c r="W96" s="211">
        <v>0</v>
      </c>
      <c r="X96" s="211">
        <v>51.85000000000001</v>
      </c>
      <c r="Y96" s="211">
        <v>2.14</v>
      </c>
      <c r="Z96" s="211">
        <v>2.568</v>
      </c>
      <c r="AA96" s="211">
        <v>0.00856</v>
      </c>
      <c r="AB96" s="211"/>
      <c r="AC96" s="211"/>
    </row>
    <row r="97" spans="1:29" s="947" customFormat="1" ht="18" customHeight="1">
      <c r="A97" s="927">
        <v>94</v>
      </c>
      <c r="B97" s="942" t="s">
        <v>2229</v>
      </c>
      <c r="C97" s="215" t="s">
        <v>2275</v>
      </c>
      <c r="D97" s="215" t="s">
        <v>1385</v>
      </c>
      <c r="E97" s="215">
        <v>2002</v>
      </c>
      <c r="F97" s="215"/>
      <c r="G97" s="951"/>
      <c r="H97" s="946">
        <v>33.6</v>
      </c>
      <c r="I97" s="950"/>
      <c r="J97" s="950"/>
      <c r="K97" s="950"/>
      <c r="L97" s="950"/>
      <c r="M97" s="950"/>
      <c r="N97" s="211">
        <v>15.2</v>
      </c>
      <c r="O97" s="211">
        <v>0.75</v>
      </c>
      <c r="P97" s="211">
        <v>432</v>
      </c>
      <c r="Q97" s="221">
        <v>2100</v>
      </c>
      <c r="R97" s="211"/>
      <c r="S97" s="211"/>
      <c r="T97" s="211"/>
      <c r="U97" s="211">
        <v>273.59999999999997</v>
      </c>
      <c r="V97" s="211">
        <v>29.76</v>
      </c>
      <c r="W97" s="211">
        <v>0</v>
      </c>
      <c r="X97" s="211">
        <v>303.35999999999996</v>
      </c>
      <c r="Y97" s="211">
        <v>15.2</v>
      </c>
      <c r="Z97" s="211">
        <v>18.24</v>
      </c>
      <c r="AA97" s="211">
        <v>0.06079999999999999</v>
      </c>
      <c r="AB97" s="211"/>
      <c r="AC97" s="211"/>
    </row>
    <row r="98" spans="1:29" s="947" customFormat="1" ht="18" customHeight="1">
      <c r="A98" s="927">
        <v>95</v>
      </c>
      <c r="B98" s="942" t="s">
        <v>2230</v>
      </c>
      <c r="C98" s="215" t="s">
        <v>2302</v>
      </c>
      <c r="D98" s="215" t="s">
        <v>1385</v>
      </c>
      <c r="E98" s="215">
        <v>1977</v>
      </c>
      <c r="F98" s="952"/>
      <c r="G98" s="952"/>
      <c r="H98" s="952">
        <v>15</v>
      </c>
      <c r="I98" s="953"/>
      <c r="J98" s="953"/>
      <c r="K98" s="953"/>
      <c r="L98" s="62"/>
      <c r="M98" s="62"/>
      <c r="N98" s="211">
        <v>4.9</v>
      </c>
      <c r="O98" s="211">
        <v>0.85</v>
      </c>
      <c r="P98" s="211">
        <v>350</v>
      </c>
      <c r="Q98" s="221">
        <v>1500</v>
      </c>
      <c r="R98" s="211"/>
      <c r="S98" s="211"/>
      <c r="T98" s="211"/>
      <c r="U98" s="211">
        <v>88.2</v>
      </c>
      <c r="V98" s="211">
        <v>22.5</v>
      </c>
      <c r="W98" s="211">
        <v>0</v>
      </c>
      <c r="X98" s="211">
        <v>110.7</v>
      </c>
      <c r="Y98" s="211">
        <v>4.9</v>
      </c>
      <c r="Z98" s="211">
        <v>5.88</v>
      </c>
      <c r="AA98" s="211">
        <v>0.0196</v>
      </c>
      <c r="AB98" s="211">
        <v>15</v>
      </c>
      <c r="AC98" s="212">
        <v>18</v>
      </c>
    </row>
    <row r="99" spans="1:29" s="947" customFormat="1" ht="18" customHeight="1">
      <c r="A99" s="927">
        <v>96</v>
      </c>
      <c r="B99" s="942" t="s">
        <v>2231</v>
      </c>
      <c r="C99" s="215" t="s">
        <v>2249</v>
      </c>
      <c r="D99" s="215" t="s">
        <v>1385</v>
      </c>
      <c r="E99" s="215">
        <v>1958</v>
      </c>
      <c r="F99" s="215"/>
      <c r="G99" s="215"/>
      <c r="H99" s="215">
        <v>18</v>
      </c>
      <c r="I99" s="62"/>
      <c r="J99" s="62"/>
      <c r="K99" s="62"/>
      <c r="L99" s="62"/>
      <c r="M99" s="62"/>
      <c r="N99" s="211">
        <v>6.36</v>
      </c>
      <c r="O99" s="211">
        <v>0.5</v>
      </c>
      <c r="P99" s="211">
        <v>410</v>
      </c>
      <c r="Q99" s="221">
        <v>1450</v>
      </c>
      <c r="R99" s="211"/>
      <c r="S99" s="211"/>
      <c r="T99" s="211"/>
      <c r="U99" s="211">
        <v>114.48</v>
      </c>
      <c r="V99" s="211">
        <v>23.9</v>
      </c>
      <c r="W99" s="211">
        <v>0</v>
      </c>
      <c r="X99" s="211">
        <v>138.38</v>
      </c>
      <c r="Y99" s="211">
        <v>6.36</v>
      </c>
      <c r="Z99" s="211">
        <v>7.632</v>
      </c>
      <c r="AA99" s="211">
        <v>0.025439999999999997</v>
      </c>
      <c r="AB99" s="211"/>
      <c r="AC99" s="213"/>
    </row>
    <row r="100" spans="1:29" s="947" customFormat="1" ht="18" customHeight="1">
      <c r="A100" s="927">
        <v>97</v>
      </c>
      <c r="B100" s="942" t="s">
        <v>2232</v>
      </c>
      <c r="C100" s="215" t="s">
        <v>2297</v>
      </c>
      <c r="D100" s="215" t="s">
        <v>1385</v>
      </c>
      <c r="E100" s="215">
        <v>1976</v>
      </c>
      <c r="F100" s="215"/>
      <c r="G100" s="215"/>
      <c r="H100" s="215">
        <v>24</v>
      </c>
      <c r="I100" s="62"/>
      <c r="J100" s="62"/>
      <c r="K100" s="62"/>
      <c r="L100" s="62"/>
      <c r="M100" s="62"/>
      <c r="N100" s="211">
        <v>5.42</v>
      </c>
      <c r="O100" s="211">
        <v>0.84</v>
      </c>
      <c r="P100" s="211">
        <v>250</v>
      </c>
      <c r="Q100" s="221">
        <v>2100</v>
      </c>
      <c r="R100" s="211"/>
      <c r="S100" s="211"/>
      <c r="T100" s="211"/>
      <c r="U100" s="211">
        <v>97.56</v>
      </c>
      <c r="V100" s="211">
        <v>24.3</v>
      </c>
      <c r="W100" s="211">
        <v>0</v>
      </c>
      <c r="X100" s="211">
        <v>121.86</v>
      </c>
      <c r="Y100" s="211">
        <v>5.42</v>
      </c>
      <c r="Z100" s="211">
        <v>6.504</v>
      </c>
      <c r="AA100" s="211">
        <v>0.021679999999999998</v>
      </c>
      <c r="AB100" s="211"/>
      <c r="AC100" s="213"/>
    </row>
    <row r="101" spans="1:29" s="947" customFormat="1" ht="18" customHeight="1">
      <c r="A101" s="927">
        <v>98</v>
      </c>
      <c r="B101" s="942" t="s">
        <v>2276</v>
      </c>
      <c r="C101" s="215" t="s">
        <v>2301</v>
      </c>
      <c r="D101" s="215" t="s">
        <v>1385</v>
      </c>
      <c r="E101" s="215">
        <v>1970</v>
      </c>
      <c r="F101" s="215"/>
      <c r="G101" s="215"/>
      <c r="H101" s="215">
        <v>12</v>
      </c>
      <c r="I101" s="62"/>
      <c r="J101" s="62"/>
      <c r="K101" s="62"/>
      <c r="L101" s="62"/>
      <c r="M101" s="62"/>
      <c r="N101" s="211">
        <v>0.54</v>
      </c>
      <c r="O101" s="211">
        <v>0.45</v>
      </c>
      <c r="P101" s="211">
        <v>150</v>
      </c>
      <c r="Q101" s="221">
        <v>1500</v>
      </c>
      <c r="R101" s="211"/>
      <c r="S101" s="211"/>
      <c r="T101" s="211"/>
      <c r="U101" s="211">
        <v>9.72</v>
      </c>
      <c r="V101" s="211">
        <v>16.5</v>
      </c>
      <c r="W101" s="211">
        <v>0</v>
      </c>
      <c r="X101" s="211">
        <v>26.22</v>
      </c>
      <c r="Y101" s="211">
        <v>0.54</v>
      </c>
      <c r="Z101" s="211">
        <v>0.648</v>
      </c>
      <c r="AA101" s="211">
        <v>0.00216</v>
      </c>
      <c r="AB101" s="211">
        <v>15</v>
      </c>
      <c r="AC101" s="213">
        <v>18</v>
      </c>
    </row>
    <row r="102" spans="1:29" s="947" customFormat="1" ht="18" customHeight="1">
      <c r="A102" s="927">
        <v>99</v>
      </c>
      <c r="B102" s="942" t="s">
        <v>2233</v>
      </c>
      <c r="C102" s="215" t="s">
        <v>2297</v>
      </c>
      <c r="D102" s="215" t="s">
        <v>1385</v>
      </c>
      <c r="E102" s="215">
        <v>1968</v>
      </c>
      <c r="F102" s="215"/>
      <c r="G102" s="215"/>
      <c r="H102" s="215">
        <v>10</v>
      </c>
      <c r="I102" s="62"/>
      <c r="J102" s="62"/>
      <c r="K102" s="62"/>
      <c r="L102" s="62"/>
      <c r="M102" s="62"/>
      <c r="N102" s="211">
        <v>5.36</v>
      </c>
      <c r="O102" s="211">
        <v>0.85</v>
      </c>
      <c r="P102" s="211">
        <v>415</v>
      </c>
      <c r="Q102" s="221">
        <v>2500</v>
      </c>
      <c r="R102" s="211"/>
      <c r="S102" s="211"/>
      <c r="T102" s="211"/>
      <c r="U102" s="211">
        <v>96.48</v>
      </c>
      <c r="V102" s="211">
        <v>32.45</v>
      </c>
      <c r="W102" s="211">
        <v>0</v>
      </c>
      <c r="X102" s="211">
        <v>128.93</v>
      </c>
      <c r="Y102" s="211">
        <v>5.36</v>
      </c>
      <c r="Z102" s="211">
        <v>6.432</v>
      </c>
      <c r="AA102" s="211">
        <v>0.02144</v>
      </c>
      <c r="AB102" s="211">
        <v>25</v>
      </c>
      <c r="AC102" s="213">
        <v>30</v>
      </c>
    </row>
    <row r="103" spans="1:29" s="958" customFormat="1" ht="18.75">
      <c r="A103" s="954"/>
      <c r="B103" s="218"/>
      <c r="C103" s="218"/>
      <c r="D103" s="219"/>
      <c r="E103" s="955"/>
      <c r="F103" s="955"/>
      <c r="G103" s="955"/>
      <c r="H103" s="956">
        <f>SUM(H4:H102)</f>
        <v>5787.120000000002</v>
      </c>
      <c r="I103" s="956">
        <f aca="true" t="shared" si="0" ref="I103:AC103">SUM(I4:I102)</f>
        <v>0</v>
      </c>
      <c r="J103" s="956">
        <f t="shared" si="0"/>
        <v>0</v>
      </c>
      <c r="K103" s="956">
        <f t="shared" si="0"/>
        <v>0</v>
      </c>
      <c r="L103" s="956">
        <f t="shared" si="0"/>
        <v>0</v>
      </c>
      <c r="M103" s="956">
        <f t="shared" si="0"/>
        <v>0</v>
      </c>
      <c r="N103" s="956">
        <f t="shared" si="0"/>
        <v>1429.01353300794</v>
      </c>
      <c r="O103" s="956">
        <f t="shared" si="0"/>
        <v>229.58999999999997</v>
      </c>
      <c r="P103" s="956">
        <f t="shared" si="0"/>
        <v>58277.8482275806</v>
      </c>
      <c r="Q103" s="957">
        <f t="shared" si="0"/>
        <v>217984.82396095287</v>
      </c>
      <c r="R103" s="956">
        <f t="shared" si="0"/>
        <v>52769.35330079403</v>
      </c>
      <c r="S103" s="956">
        <f t="shared" si="0"/>
        <v>27144.70599023821</v>
      </c>
      <c r="T103" s="956">
        <f t="shared" si="0"/>
        <v>689.584152883754</v>
      </c>
      <c r="U103" s="956">
        <f t="shared" si="0"/>
        <v>29731.345990238224</v>
      </c>
      <c r="V103" s="956">
        <f t="shared" si="0"/>
        <v>4107.714038515043</v>
      </c>
      <c r="W103" s="956">
        <f t="shared" si="0"/>
        <v>4471.821608024518</v>
      </c>
      <c r="X103" s="956">
        <f t="shared" si="0"/>
        <v>37958.37166177776</v>
      </c>
      <c r="Y103" s="956">
        <f t="shared" si="0"/>
        <v>1429.01353300794</v>
      </c>
      <c r="Z103" s="956">
        <f t="shared" si="0"/>
        <v>1714.8162396095292</v>
      </c>
      <c r="AA103" s="956">
        <f t="shared" si="0"/>
        <v>4.734418952972312</v>
      </c>
      <c r="AB103" s="956">
        <f t="shared" si="0"/>
        <v>3150.9679094808125</v>
      </c>
      <c r="AC103" s="956">
        <f t="shared" si="0"/>
        <v>635.2124586512626</v>
      </c>
    </row>
    <row r="104" spans="1:29" s="46" customFormat="1" ht="12">
      <c r="A104" s="959" t="s">
        <v>909</v>
      </c>
      <c r="B104" s="959"/>
      <c r="C104" s="959"/>
      <c r="K104" s="959"/>
      <c r="L104" s="959"/>
      <c r="M104" s="959"/>
      <c r="N104" s="959"/>
      <c r="O104" s="959"/>
      <c r="P104" s="959"/>
      <c r="Q104" s="960"/>
      <c r="R104" s="959"/>
      <c r="S104" s="959"/>
      <c r="T104" s="959"/>
      <c r="U104" s="959"/>
      <c r="V104" s="959"/>
      <c r="W104" s="959"/>
      <c r="X104" s="959"/>
      <c r="Y104" s="959"/>
      <c r="Z104" s="959"/>
      <c r="AA104" s="959"/>
      <c r="AB104" s="959"/>
      <c r="AC104" s="959"/>
    </row>
    <row r="105" spans="1:29" s="46" customFormat="1" ht="12">
      <c r="A105" s="959" t="s">
        <v>910</v>
      </c>
      <c r="B105" s="959"/>
      <c r="C105" s="959"/>
      <c r="K105" s="959"/>
      <c r="L105" s="959"/>
      <c r="M105" s="959"/>
      <c r="N105" s="959"/>
      <c r="O105" s="959"/>
      <c r="P105" s="959"/>
      <c r="Q105" s="960"/>
      <c r="R105" s="959"/>
      <c r="S105" s="959"/>
      <c r="T105" s="959"/>
      <c r="U105" s="959"/>
      <c r="V105" s="959"/>
      <c r="W105" s="959"/>
      <c r="X105" s="959"/>
      <c r="Y105" s="959"/>
      <c r="Z105" s="959"/>
      <c r="AA105" s="959"/>
      <c r="AB105" s="959"/>
      <c r="AC105" s="959"/>
    </row>
    <row r="106" spans="1:29" s="46" customFormat="1" ht="12">
      <c r="A106" s="959" t="s">
        <v>911</v>
      </c>
      <c r="B106" s="959"/>
      <c r="C106" s="959"/>
      <c r="K106" s="959"/>
      <c r="L106" s="959"/>
      <c r="M106" s="959"/>
      <c r="N106" s="959"/>
      <c r="O106" s="959"/>
      <c r="P106" s="959"/>
      <c r="Q106" s="960"/>
      <c r="R106" s="959"/>
      <c r="S106" s="959"/>
      <c r="T106" s="959"/>
      <c r="U106" s="959"/>
      <c r="V106" s="959"/>
      <c r="W106" s="959"/>
      <c r="X106" s="959"/>
      <c r="Y106" s="959"/>
      <c r="Z106" s="959"/>
      <c r="AA106" s="959"/>
      <c r="AB106" s="959"/>
      <c r="AC106" s="959"/>
    </row>
    <row r="107" spans="1:29" s="46" customFormat="1" ht="12">
      <c r="A107" s="959" t="s">
        <v>912</v>
      </c>
      <c r="B107" s="959"/>
      <c r="C107" s="959"/>
      <c r="K107" s="959"/>
      <c r="L107" s="959"/>
      <c r="M107" s="959"/>
      <c r="N107" s="959"/>
      <c r="O107" s="959"/>
      <c r="P107" s="959"/>
      <c r="Q107" s="960"/>
      <c r="R107" s="959"/>
      <c r="S107" s="959"/>
      <c r="T107" s="959"/>
      <c r="U107" s="959"/>
      <c r="V107" s="959"/>
      <c r="W107" s="959"/>
      <c r="X107" s="959"/>
      <c r="Y107" s="959"/>
      <c r="Z107" s="959"/>
      <c r="AA107" s="959"/>
      <c r="AB107" s="959"/>
      <c r="AC107" s="959"/>
    </row>
  </sheetData>
  <sheetProtection/>
  <mergeCells count="19">
    <mergeCell ref="Y2:AC2"/>
    <mergeCell ref="J2:J3"/>
    <mergeCell ref="I2:I3"/>
    <mergeCell ref="L2:L3"/>
    <mergeCell ref="H2:H3"/>
    <mergeCell ref="U2:X2"/>
    <mergeCell ref="N2:O2"/>
    <mergeCell ref="P2:Q2"/>
    <mergeCell ref="R2:T2"/>
    <mergeCell ref="A1:AC1"/>
    <mergeCell ref="A2:A3"/>
    <mergeCell ref="B2:B3"/>
    <mergeCell ref="D2:D3"/>
    <mergeCell ref="K2:K3"/>
    <mergeCell ref="M2:M3"/>
    <mergeCell ref="E2:E3"/>
    <mergeCell ref="C2:C3"/>
    <mergeCell ref="F2:F3"/>
    <mergeCell ref="G2:G3"/>
  </mergeCells>
  <printOptions/>
  <pageMargins left="0.7086614173228347" right="0.16"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8.xml><?xml version="1.0" encoding="utf-8"?>
<worksheet xmlns="http://schemas.openxmlformats.org/spreadsheetml/2006/main" xmlns:r="http://schemas.openxmlformats.org/officeDocument/2006/relationships">
  <sheetPr>
    <tabColor rgb="FFFF0000"/>
  </sheetPr>
  <dimension ref="A1:X20"/>
  <sheetViews>
    <sheetView zoomScalePageLayoutView="0" workbookViewId="0" topLeftCell="A1">
      <selection activeCell="Q26" sqref="Q26"/>
    </sheetView>
  </sheetViews>
  <sheetFormatPr defaultColWidth="9.00390625" defaultRowHeight="13.5"/>
  <cols>
    <col min="1" max="1" width="5.625" style="260" customWidth="1"/>
    <col min="2" max="2" width="9.00390625" style="260" customWidth="1"/>
    <col min="3" max="4" width="9.00390625" style="260" hidden="1" customWidth="1"/>
    <col min="5" max="6" width="5.875" style="260" hidden="1" customWidth="1"/>
    <col min="7" max="7" width="5.625" style="260" hidden="1" customWidth="1"/>
    <col min="8" max="8" width="9.00390625" style="260" customWidth="1"/>
    <col min="9" max="9" width="9.00390625" style="260" hidden="1" customWidth="1"/>
    <col min="10" max="11" width="9.00390625" style="260" customWidth="1"/>
    <col min="12" max="12" width="6.00390625" style="260" customWidth="1"/>
    <col min="13" max="16" width="9.00390625" style="260" customWidth="1"/>
    <col min="17" max="17" width="6.125" style="260" customWidth="1"/>
    <col min="18" max="18" width="8.50390625" style="260" customWidth="1"/>
    <col min="19" max="19" width="9.00390625" style="260" customWidth="1"/>
    <col min="20" max="20" width="0" style="260" hidden="1" customWidth="1"/>
    <col min="21" max="21" width="9.00390625" style="260" customWidth="1"/>
    <col min="22" max="22" width="7.625" style="260" hidden="1" customWidth="1"/>
    <col min="23" max="16384" width="9.00390625" style="260" customWidth="1"/>
  </cols>
  <sheetData>
    <row r="1" spans="1:24" ht="18.75">
      <c r="A1" s="749" t="s">
        <v>2637</v>
      </c>
      <c r="B1" s="749"/>
      <c r="C1" s="749"/>
      <c r="D1" s="749"/>
      <c r="E1" s="749"/>
      <c r="F1" s="749"/>
      <c r="G1" s="749"/>
      <c r="H1" s="749"/>
      <c r="I1" s="749"/>
      <c r="J1" s="749"/>
      <c r="K1" s="749"/>
      <c r="L1" s="749"/>
      <c r="M1" s="749"/>
      <c r="N1" s="749"/>
      <c r="O1" s="749"/>
      <c r="P1" s="749"/>
      <c r="Q1" s="749"/>
      <c r="R1" s="749"/>
      <c r="S1" s="749"/>
      <c r="T1" s="749"/>
      <c r="U1" s="749"/>
      <c r="V1" s="749"/>
      <c r="W1" s="749"/>
      <c r="X1" s="749"/>
    </row>
    <row r="2" spans="1:24" ht="27.75" customHeight="1">
      <c r="A2" s="745" t="s">
        <v>646</v>
      </c>
      <c r="B2" s="745" t="s">
        <v>913</v>
      </c>
      <c r="C2" s="745" t="s">
        <v>914</v>
      </c>
      <c r="D2" s="745" t="s">
        <v>915</v>
      </c>
      <c r="E2" s="750" t="s">
        <v>670</v>
      </c>
      <c r="F2" s="750" t="s">
        <v>916</v>
      </c>
      <c r="G2" s="745" t="s">
        <v>917</v>
      </c>
      <c r="H2" s="745" t="s">
        <v>918</v>
      </c>
      <c r="I2" s="745"/>
      <c r="J2" s="745" t="s">
        <v>62</v>
      </c>
      <c r="K2" s="746" t="s">
        <v>2627</v>
      </c>
      <c r="L2" s="744" t="s">
        <v>2631</v>
      </c>
      <c r="M2" s="745"/>
      <c r="N2" s="745"/>
      <c r="O2" s="745"/>
      <c r="P2" s="745"/>
      <c r="Q2" s="745"/>
      <c r="R2" s="745"/>
      <c r="S2" s="745"/>
      <c r="T2" s="745" t="s">
        <v>919</v>
      </c>
      <c r="U2" s="745"/>
      <c r="V2" s="745"/>
      <c r="W2" s="745"/>
      <c r="X2" s="745"/>
    </row>
    <row r="3" spans="1:24" ht="13.5">
      <c r="A3" s="745"/>
      <c r="B3" s="745"/>
      <c r="C3" s="745"/>
      <c r="D3" s="745"/>
      <c r="E3" s="750"/>
      <c r="F3" s="750"/>
      <c r="G3" s="745"/>
      <c r="H3" s="745" t="s">
        <v>920</v>
      </c>
      <c r="I3" s="745" t="s">
        <v>921</v>
      </c>
      <c r="J3" s="745"/>
      <c r="K3" s="747"/>
      <c r="L3" s="748" t="s">
        <v>2628</v>
      </c>
      <c r="M3" s="745"/>
      <c r="N3" s="745"/>
      <c r="O3" s="744" t="s">
        <v>2630</v>
      </c>
      <c r="P3" s="745"/>
      <c r="Q3" s="745" t="s">
        <v>922</v>
      </c>
      <c r="R3" s="745"/>
      <c r="S3" s="745" t="s">
        <v>923</v>
      </c>
      <c r="T3" s="742" t="s">
        <v>924</v>
      </c>
      <c r="U3" s="742" t="s">
        <v>925</v>
      </c>
      <c r="V3" s="742" t="s">
        <v>926</v>
      </c>
      <c r="W3" s="742" t="s">
        <v>927</v>
      </c>
      <c r="X3" s="742" t="s">
        <v>928</v>
      </c>
    </row>
    <row r="4" spans="1:24" ht="24">
      <c r="A4" s="745"/>
      <c r="B4" s="745"/>
      <c r="C4" s="745"/>
      <c r="D4" s="745"/>
      <c r="E4" s="750"/>
      <c r="F4" s="750"/>
      <c r="G4" s="745"/>
      <c r="H4" s="745"/>
      <c r="I4" s="745" t="s">
        <v>929</v>
      </c>
      <c r="J4" s="745"/>
      <c r="K4" s="743"/>
      <c r="L4" s="335" t="s">
        <v>930</v>
      </c>
      <c r="M4" s="335" t="s">
        <v>931</v>
      </c>
      <c r="N4" s="335" t="s">
        <v>932</v>
      </c>
      <c r="O4" s="335" t="s">
        <v>933</v>
      </c>
      <c r="P4" s="335" t="s">
        <v>934</v>
      </c>
      <c r="Q4" s="335" t="s">
        <v>930</v>
      </c>
      <c r="R4" s="335" t="s">
        <v>935</v>
      </c>
      <c r="S4" s="745"/>
      <c r="T4" s="743"/>
      <c r="U4" s="743"/>
      <c r="V4" s="743"/>
      <c r="W4" s="743"/>
      <c r="X4" s="743"/>
    </row>
    <row r="5" spans="1:24" s="340" customFormat="1" ht="24">
      <c r="A5" s="336"/>
      <c r="B5" s="336" t="s">
        <v>63</v>
      </c>
      <c r="C5" s="337" t="s">
        <v>751</v>
      </c>
      <c r="D5" s="337" t="s">
        <v>718</v>
      </c>
      <c r="E5" s="338" t="s">
        <v>1566</v>
      </c>
      <c r="F5" s="339" t="s">
        <v>1567</v>
      </c>
      <c r="G5" s="336">
        <v>1</v>
      </c>
      <c r="H5" s="336">
        <f>SUM(H6:H20)</f>
        <v>8.08</v>
      </c>
      <c r="I5" s="336">
        <f aca="true" t="shared" si="0" ref="I5:X5">SUM(I6:I20)</f>
        <v>7.384</v>
      </c>
      <c r="J5" s="336">
        <f t="shared" si="0"/>
        <v>5778.51</v>
      </c>
      <c r="K5" s="336">
        <f t="shared" si="0"/>
        <v>0</v>
      </c>
      <c r="L5" s="336">
        <f t="shared" si="0"/>
        <v>24</v>
      </c>
      <c r="M5" s="336">
        <f t="shared" si="0"/>
        <v>178.21999999999997</v>
      </c>
      <c r="N5" s="336">
        <f t="shared" si="0"/>
        <v>152.17000000000002</v>
      </c>
      <c r="O5" s="336">
        <f t="shared" si="0"/>
        <v>169</v>
      </c>
      <c r="P5" s="336">
        <f t="shared" si="0"/>
        <v>141</v>
      </c>
      <c r="Q5" s="336">
        <f t="shared" si="0"/>
        <v>1</v>
      </c>
      <c r="R5" s="336">
        <f t="shared" si="0"/>
        <v>1.2</v>
      </c>
      <c r="S5" s="336">
        <f t="shared" si="0"/>
        <v>8760.01</v>
      </c>
      <c r="T5" s="336">
        <f t="shared" si="0"/>
        <v>0</v>
      </c>
      <c r="U5" s="336">
        <f t="shared" si="0"/>
        <v>8.04</v>
      </c>
      <c r="V5" s="336">
        <f t="shared" si="0"/>
        <v>0</v>
      </c>
      <c r="W5" s="336">
        <f t="shared" si="0"/>
        <v>1228.1599999999999</v>
      </c>
      <c r="X5" s="336">
        <f t="shared" si="0"/>
        <v>339.36</v>
      </c>
    </row>
    <row r="6" spans="1:24" ht="13.5">
      <c r="A6" s="341">
        <v>1</v>
      </c>
      <c r="B6" s="342" t="s">
        <v>936</v>
      </c>
      <c r="C6" s="342" t="s">
        <v>751</v>
      </c>
      <c r="D6" s="342" t="s">
        <v>718</v>
      </c>
      <c r="E6" s="300" t="s">
        <v>1566</v>
      </c>
      <c r="F6" s="343" t="s">
        <v>1567</v>
      </c>
      <c r="G6" s="344"/>
      <c r="H6" s="342">
        <v>1.18</v>
      </c>
      <c r="I6" s="345">
        <v>1.062</v>
      </c>
      <c r="J6" s="342">
        <v>1100</v>
      </c>
      <c r="K6" s="335" t="s">
        <v>64</v>
      </c>
      <c r="L6" s="344">
        <v>1</v>
      </c>
      <c r="M6" s="342">
        <v>8</v>
      </c>
      <c r="N6" s="342">
        <v>5</v>
      </c>
      <c r="O6" s="344">
        <v>5</v>
      </c>
      <c r="P6" s="344">
        <v>7</v>
      </c>
      <c r="Q6" s="344">
        <v>1</v>
      </c>
      <c r="R6" s="344">
        <v>1.2</v>
      </c>
      <c r="S6" s="342">
        <v>305.36</v>
      </c>
      <c r="T6" s="344"/>
      <c r="U6" s="342">
        <v>1.18</v>
      </c>
      <c r="V6" s="344"/>
      <c r="W6" s="342">
        <v>179.35999999999999</v>
      </c>
      <c r="X6" s="345">
        <v>49.559999999999995</v>
      </c>
    </row>
    <row r="7" spans="1:24" ht="13.5">
      <c r="A7" s="341">
        <v>2</v>
      </c>
      <c r="B7" s="342" t="s">
        <v>936</v>
      </c>
      <c r="C7" s="342" t="s">
        <v>751</v>
      </c>
      <c r="D7" s="342" t="s">
        <v>718</v>
      </c>
      <c r="E7" s="300" t="s">
        <v>1566</v>
      </c>
      <c r="F7" s="343" t="s">
        <v>1567</v>
      </c>
      <c r="G7" s="344"/>
      <c r="H7" s="342">
        <v>0.45</v>
      </c>
      <c r="I7" s="345">
        <v>0.36</v>
      </c>
      <c r="J7" s="342">
        <v>303.8</v>
      </c>
      <c r="K7" s="335" t="s">
        <v>65</v>
      </c>
      <c r="L7" s="344">
        <v>1</v>
      </c>
      <c r="M7" s="342">
        <v>10</v>
      </c>
      <c r="N7" s="342">
        <v>9</v>
      </c>
      <c r="O7" s="344">
        <v>13</v>
      </c>
      <c r="P7" s="344">
        <v>3</v>
      </c>
      <c r="Q7" s="344"/>
      <c r="R7" s="344"/>
      <c r="S7" s="342">
        <v>495.46</v>
      </c>
      <c r="T7" s="344"/>
      <c r="U7" s="342">
        <v>0.45</v>
      </c>
      <c r="V7" s="344"/>
      <c r="W7" s="342">
        <v>68.4</v>
      </c>
      <c r="X7" s="345">
        <v>18.900000000000002</v>
      </c>
    </row>
    <row r="8" spans="1:24" ht="13.5">
      <c r="A8" s="341">
        <v>3</v>
      </c>
      <c r="B8" s="342" t="s">
        <v>936</v>
      </c>
      <c r="C8" s="342" t="s">
        <v>751</v>
      </c>
      <c r="D8" s="342" t="s">
        <v>718</v>
      </c>
      <c r="E8" s="300" t="s">
        <v>1566</v>
      </c>
      <c r="F8" s="343" t="s">
        <v>1567</v>
      </c>
      <c r="G8" s="344"/>
      <c r="H8" s="342">
        <v>0.4</v>
      </c>
      <c r="I8" s="345">
        <v>0.4</v>
      </c>
      <c r="J8" s="342">
        <v>760</v>
      </c>
      <c r="K8" s="335" t="s">
        <v>66</v>
      </c>
      <c r="L8" s="344">
        <v>1</v>
      </c>
      <c r="M8" s="342">
        <v>19.93</v>
      </c>
      <c r="N8" s="342">
        <v>14.5</v>
      </c>
      <c r="O8" s="344">
        <v>29</v>
      </c>
      <c r="P8" s="344">
        <v>9</v>
      </c>
      <c r="Q8" s="344"/>
      <c r="R8" s="344"/>
      <c r="S8" s="342">
        <v>870.56</v>
      </c>
      <c r="T8" s="344"/>
      <c r="U8" s="342">
        <v>0.4</v>
      </c>
      <c r="V8" s="344"/>
      <c r="W8" s="342">
        <v>60.800000000000004</v>
      </c>
      <c r="X8" s="345">
        <v>16.8</v>
      </c>
    </row>
    <row r="9" spans="1:24" ht="13.5">
      <c r="A9" s="341">
        <v>4</v>
      </c>
      <c r="B9" s="342" t="s">
        <v>936</v>
      </c>
      <c r="C9" s="342" t="s">
        <v>751</v>
      </c>
      <c r="D9" s="342" t="s">
        <v>718</v>
      </c>
      <c r="E9" s="300" t="s">
        <v>1566</v>
      </c>
      <c r="F9" s="343" t="s">
        <v>1567</v>
      </c>
      <c r="G9" s="344"/>
      <c r="H9" s="342">
        <v>0.4</v>
      </c>
      <c r="I9" s="345">
        <v>0.36</v>
      </c>
      <c r="J9" s="342">
        <v>267.7</v>
      </c>
      <c r="K9" s="335" t="s">
        <v>67</v>
      </c>
      <c r="L9" s="344">
        <v>1</v>
      </c>
      <c r="M9" s="342">
        <v>9.12</v>
      </c>
      <c r="N9" s="342">
        <v>8.5</v>
      </c>
      <c r="O9" s="344">
        <v>4</v>
      </c>
      <c r="P9" s="344">
        <v>4</v>
      </c>
      <c r="Q9" s="344"/>
      <c r="R9" s="344"/>
      <c r="S9" s="342">
        <v>450.5</v>
      </c>
      <c r="T9" s="344"/>
      <c r="U9" s="342">
        <v>0.4</v>
      </c>
      <c r="V9" s="344"/>
      <c r="W9" s="342">
        <v>60.800000000000004</v>
      </c>
      <c r="X9" s="345">
        <v>16.8</v>
      </c>
    </row>
    <row r="10" spans="1:24" ht="13.5">
      <c r="A10" s="341">
        <v>5</v>
      </c>
      <c r="B10" s="342" t="s">
        <v>936</v>
      </c>
      <c r="C10" s="342" t="s">
        <v>751</v>
      </c>
      <c r="D10" s="342" t="s">
        <v>718</v>
      </c>
      <c r="E10" s="300" t="s">
        <v>1566</v>
      </c>
      <c r="F10" s="343" t="s">
        <v>1567</v>
      </c>
      <c r="G10" s="344"/>
      <c r="H10" s="342">
        <v>0.42</v>
      </c>
      <c r="I10" s="345">
        <v>0.42</v>
      </c>
      <c r="J10" s="342">
        <v>284.6</v>
      </c>
      <c r="K10" s="335" t="s">
        <v>68</v>
      </c>
      <c r="L10" s="344">
        <v>1</v>
      </c>
      <c r="M10" s="342">
        <v>8</v>
      </c>
      <c r="N10" s="342">
        <v>7.7</v>
      </c>
      <c r="O10" s="344">
        <v>10</v>
      </c>
      <c r="P10" s="344">
        <v>10</v>
      </c>
      <c r="Q10" s="344"/>
      <c r="R10" s="344"/>
      <c r="S10" s="342">
        <v>408.15</v>
      </c>
      <c r="T10" s="344"/>
      <c r="U10" s="342">
        <v>0.42</v>
      </c>
      <c r="V10" s="344"/>
      <c r="W10" s="342">
        <v>63.839999999999996</v>
      </c>
      <c r="X10" s="345">
        <v>17.64</v>
      </c>
    </row>
    <row r="11" spans="1:24" ht="13.5">
      <c r="A11" s="341">
        <v>6</v>
      </c>
      <c r="B11" s="342" t="s">
        <v>936</v>
      </c>
      <c r="C11" s="342" t="s">
        <v>751</v>
      </c>
      <c r="D11" s="342" t="s">
        <v>718</v>
      </c>
      <c r="E11" s="300" t="s">
        <v>1566</v>
      </c>
      <c r="F11" s="343" t="s">
        <v>1567</v>
      </c>
      <c r="G11" s="344"/>
      <c r="H11" s="342">
        <v>0.35</v>
      </c>
      <c r="I11" s="345">
        <v>0.315</v>
      </c>
      <c r="J11" s="342">
        <v>218.6</v>
      </c>
      <c r="K11" s="335" t="s">
        <v>69</v>
      </c>
      <c r="L11" s="344">
        <v>1</v>
      </c>
      <c r="M11" s="342">
        <v>15.5</v>
      </c>
      <c r="N11" s="342">
        <v>11</v>
      </c>
      <c r="O11" s="344">
        <v>13</v>
      </c>
      <c r="P11" s="344">
        <v>13</v>
      </c>
      <c r="Q11" s="344"/>
      <c r="R11" s="344"/>
      <c r="S11" s="342">
        <v>550.56</v>
      </c>
      <c r="T11" s="344"/>
      <c r="U11" s="342">
        <v>0.35</v>
      </c>
      <c r="V11" s="344"/>
      <c r="W11" s="342">
        <v>53.199999999999996</v>
      </c>
      <c r="X11" s="345">
        <v>14.7</v>
      </c>
    </row>
    <row r="12" spans="1:24" ht="13.5">
      <c r="A12" s="341">
        <v>7</v>
      </c>
      <c r="B12" s="342" t="s">
        <v>936</v>
      </c>
      <c r="C12" s="342" t="s">
        <v>751</v>
      </c>
      <c r="D12" s="342" t="s">
        <v>718</v>
      </c>
      <c r="E12" s="300" t="s">
        <v>1566</v>
      </c>
      <c r="F12" s="343" t="s">
        <v>1567</v>
      </c>
      <c r="G12" s="344"/>
      <c r="H12" s="342">
        <v>0.34</v>
      </c>
      <c r="I12" s="345">
        <v>0.34</v>
      </c>
      <c r="J12" s="342">
        <v>216.9</v>
      </c>
      <c r="K12" s="335" t="s">
        <v>70</v>
      </c>
      <c r="L12" s="344">
        <v>1</v>
      </c>
      <c r="M12" s="342">
        <v>11</v>
      </c>
      <c r="N12" s="342">
        <v>11</v>
      </c>
      <c r="O12" s="344">
        <v>15</v>
      </c>
      <c r="P12" s="344">
        <v>15</v>
      </c>
      <c r="Q12" s="344"/>
      <c r="R12" s="344"/>
      <c r="S12" s="342">
        <v>605.36</v>
      </c>
      <c r="T12" s="344"/>
      <c r="U12" s="346">
        <v>0.34</v>
      </c>
      <c r="V12" s="344"/>
      <c r="W12" s="342">
        <v>51.68000000000001</v>
      </c>
      <c r="X12" s="345">
        <v>14.280000000000001</v>
      </c>
    </row>
    <row r="13" spans="1:24" ht="13.5">
      <c r="A13" s="341">
        <v>8</v>
      </c>
      <c r="B13" s="342" t="s">
        <v>936</v>
      </c>
      <c r="C13" s="342" t="s">
        <v>751</v>
      </c>
      <c r="D13" s="342" t="s">
        <v>718</v>
      </c>
      <c r="E13" s="300" t="s">
        <v>1566</v>
      </c>
      <c r="F13" s="343" t="s">
        <v>1567</v>
      </c>
      <c r="G13" s="344"/>
      <c r="H13" s="342">
        <v>1.18</v>
      </c>
      <c r="I13" s="345">
        <v>1.003</v>
      </c>
      <c r="J13" s="342">
        <v>710.8</v>
      </c>
      <c r="K13" s="335" t="s">
        <v>71</v>
      </c>
      <c r="L13" s="344">
        <v>1</v>
      </c>
      <c r="M13" s="342">
        <v>16</v>
      </c>
      <c r="N13" s="342">
        <v>14.7</v>
      </c>
      <c r="O13" s="344">
        <v>16</v>
      </c>
      <c r="P13" s="344">
        <v>16</v>
      </c>
      <c r="Q13" s="344"/>
      <c r="R13" s="344"/>
      <c r="S13" s="342">
        <v>785.46</v>
      </c>
      <c r="T13" s="344"/>
      <c r="U13" s="342">
        <v>1.18</v>
      </c>
      <c r="V13" s="344"/>
      <c r="W13" s="342">
        <v>179.35999999999999</v>
      </c>
      <c r="X13" s="345">
        <v>49.559999999999995</v>
      </c>
    </row>
    <row r="14" spans="1:24" ht="13.5">
      <c r="A14" s="341">
        <v>9</v>
      </c>
      <c r="B14" s="342" t="s">
        <v>936</v>
      </c>
      <c r="C14" s="342" t="s">
        <v>751</v>
      </c>
      <c r="D14" s="342" t="s">
        <v>718</v>
      </c>
      <c r="E14" s="300" t="s">
        <v>1566</v>
      </c>
      <c r="F14" s="343" t="s">
        <v>1567</v>
      </c>
      <c r="G14" s="344"/>
      <c r="H14" s="342">
        <v>0.33</v>
      </c>
      <c r="I14" s="345">
        <v>0.231</v>
      </c>
      <c r="J14" s="342">
        <v>226.7</v>
      </c>
      <c r="K14" s="335" t="s">
        <v>72</v>
      </c>
      <c r="L14" s="344">
        <v>1</v>
      </c>
      <c r="M14" s="342">
        <v>7.9</v>
      </c>
      <c r="N14" s="342">
        <v>7.9</v>
      </c>
      <c r="O14" s="344">
        <v>8</v>
      </c>
      <c r="P14" s="344">
        <v>8</v>
      </c>
      <c r="Q14" s="344"/>
      <c r="R14" s="344"/>
      <c r="S14" s="342">
        <v>474.56</v>
      </c>
      <c r="T14" s="344"/>
      <c r="U14" s="342">
        <v>0.33</v>
      </c>
      <c r="V14" s="344"/>
      <c r="W14" s="342">
        <v>50.160000000000004</v>
      </c>
      <c r="X14" s="345">
        <v>13.860000000000001</v>
      </c>
    </row>
    <row r="15" spans="1:24" ht="13.5">
      <c r="A15" s="341">
        <v>10</v>
      </c>
      <c r="B15" s="342" t="s">
        <v>936</v>
      </c>
      <c r="C15" s="342" t="s">
        <v>751</v>
      </c>
      <c r="D15" s="342" t="s">
        <v>718</v>
      </c>
      <c r="E15" s="300" t="s">
        <v>1566</v>
      </c>
      <c r="F15" s="343" t="s">
        <v>1567</v>
      </c>
      <c r="G15" s="344"/>
      <c r="H15" s="342">
        <v>0.38</v>
      </c>
      <c r="I15" s="345">
        <v>0.37</v>
      </c>
      <c r="J15" s="342">
        <v>264.73</v>
      </c>
      <c r="K15" s="335" t="s">
        <v>73</v>
      </c>
      <c r="L15" s="344">
        <v>1</v>
      </c>
      <c r="M15" s="342">
        <v>8.3</v>
      </c>
      <c r="N15" s="342">
        <v>7.2</v>
      </c>
      <c r="O15" s="344">
        <v>9</v>
      </c>
      <c r="P15" s="344">
        <v>9</v>
      </c>
      <c r="Q15" s="344"/>
      <c r="R15" s="344"/>
      <c r="S15" s="342">
        <v>396.7</v>
      </c>
      <c r="T15" s="344"/>
      <c r="U15" s="342">
        <v>0.37</v>
      </c>
      <c r="V15" s="344"/>
      <c r="W15" s="342">
        <v>57.76</v>
      </c>
      <c r="X15" s="345">
        <v>15.96</v>
      </c>
    </row>
    <row r="16" spans="1:24" ht="13.5">
      <c r="A16" s="341">
        <v>11</v>
      </c>
      <c r="B16" s="342" t="s">
        <v>936</v>
      </c>
      <c r="C16" s="342" t="s">
        <v>751</v>
      </c>
      <c r="D16" s="342" t="s">
        <v>718</v>
      </c>
      <c r="E16" s="300" t="s">
        <v>1566</v>
      </c>
      <c r="F16" s="343" t="s">
        <v>1567</v>
      </c>
      <c r="G16" s="344"/>
      <c r="H16" s="342">
        <v>0.36</v>
      </c>
      <c r="I16" s="345">
        <v>0.34</v>
      </c>
      <c r="J16" s="342">
        <v>230.42</v>
      </c>
      <c r="K16" s="335" t="s">
        <v>74</v>
      </c>
      <c r="L16" s="344">
        <v>1</v>
      </c>
      <c r="M16" s="342">
        <v>12</v>
      </c>
      <c r="N16" s="342">
        <v>6.5</v>
      </c>
      <c r="O16" s="344">
        <v>7</v>
      </c>
      <c r="P16" s="344">
        <v>7</v>
      </c>
      <c r="Q16" s="344"/>
      <c r="R16" s="344"/>
      <c r="S16" s="342">
        <v>357.5</v>
      </c>
      <c r="T16" s="344"/>
      <c r="U16" s="342">
        <v>0.34</v>
      </c>
      <c r="V16" s="344"/>
      <c r="W16" s="342">
        <v>54.72</v>
      </c>
      <c r="X16" s="345">
        <v>15.12</v>
      </c>
    </row>
    <row r="17" spans="1:24" ht="13.5">
      <c r="A17" s="341">
        <v>12</v>
      </c>
      <c r="B17" s="342" t="s">
        <v>936</v>
      </c>
      <c r="C17" s="342" t="s">
        <v>751</v>
      </c>
      <c r="D17" s="342" t="s">
        <v>718</v>
      </c>
      <c r="E17" s="300" t="s">
        <v>1566</v>
      </c>
      <c r="F17" s="343" t="s">
        <v>1567</v>
      </c>
      <c r="G17" s="344"/>
      <c r="H17" s="342">
        <v>0.42</v>
      </c>
      <c r="I17" s="345">
        <v>0.4</v>
      </c>
      <c r="J17" s="342">
        <v>265.42</v>
      </c>
      <c r="K17" s="335" t="s">
        <v>75</v>
      </c>
      <c r="L17" s="344">
        <v>1</v>
      </c>
      <c r="M17" s="342">
        <v>9</v>
      </c>
      <c r="N17" s="342">
        <v>7.4</v>
      </c>
      <c r="O17" s="344">
        <v>9</v>
      </c>
      <c r="P17" s="344">
        <v>9</v>
      </c>
      <c r="Q17" s="344"/>
      <c r="R17" s="344"/>
      <c r="S17" s="342">
        <v>407</v>
      </c>
      <c r="T17" s="344"/>
      <c r="U17" s="342">
        <v>0.41</v>
      </c>
      <c r="V17" s="344"/>
      <c r="W17" s="342">
        <v>63.839999999999996</v>
      </c>
      <c r="X17" s="345">
        <v>17.64</v>
      </c>
    </row>
    <row r="18" spans="1:24" ht="13.5">
      <c r="A18" s="341">
        <v>13</v>
      </c>
      <c r="B18" s="342" t="s">
        <v>936</v>
      </c>
      <c r="C18" s="342" t="s">
        <v>751</v>
      </c>
      <c r="D18" s="342" t="s">
        <v>718</v>
      </c>
      <c r="E18" s="300" t="s">
        <v>1566</v>
      </c>
      <c r="F18" s="343" t="s">
        <v>1567</v>
      </c>
      <c r="G18" s="344"/>
      <c r="H18" s="342">
        <v>0.3</v>
      </c>
      <c r="I18" s="345">
        <v>0.3</v>
      </c>
      <c r="J18" s="342">
        <v>210.34</v>
      </c>
      <c r="K18" s="335" t="s">
        <v>76</v>
      </c>
      <c r="L18" s="344">
        <v>1</v>
      </c>
      <c r="M18" s="342">
        <v>10.2</v>
      </c>
      <c r="N18" s="342">
        <v>8.5</v>
      </c>
      <c r="O18" s="344">
        <v>9</v>
      </c>
      <c r="P18" s="344">
        <v>9</v>
      </c>
      <c r="Q18" s="344"/>
      <c r="R18" s="344"/>
      <c r="S18" s="342">
        <v>425</v>
      </c>
      <c r="T18" s="344"/>
      <c r="U18" s="342">
        <v>0.3</v>
      </c>
      <c r="V18" s="344"/>
      <c r="W18" s="342">
        <v>45.6</v>
      </c>
      <c r="X18" s="345">
        <v>12.6</v>
      </c>
    </row>
    <row r="19" spans="1:24" ht="13.5">
      <c r="A19" s="341">
        <v>14</v>
      </c>
      <c r="B19" s="342" t="s">
        <v>936</v>
      </c>
      <c r="C19" s="342" t="s">
        <v>751</v>
      </c>
      <c r="D19" s="342" t="s">
        <v>718</v>
      </c>
      <c r="E19" s="300" t="s">
        <v>1566</v>
      </c>
      <c r="F19" s="343" t="s">
        <v>1567</v>
      </c>
      <c r="G19" s="344"/>
      <c r="H19" s="342">
        <v>0.29</v>
      </c>
      <c r="I19" s="345">
        <v>0.203</v>
      </c>
      <c r="J19" s="342">
        <v>199.2</v>
      </c>
      <c r="K19" s="335" t="s">
        <v>77</v>
      </c>
      <c r="L19" s="344">
        <v>1</v>
      </c>
      <c r="M19" s="342">
        <v>7.2</v>
      </c>
      <c r="N19" s="342">
        <v>7.2</v>
      </c>
      <c r="O19" s="344">
        <v>8</v>
      </c>
      <c r="P19" s="344">
        <v>8</v>
      </c>
      <c r="Q19" s="344"/>
      <c r="R19" s="344"/>
      <c r="S19" s="342">
        <v>396.2</v>
      </c>
      <c r="T19" s="344"/>
      <c r="U19" s="342">
        <v>0.29</v>
      </c>
      <c r="V19" s="344"/>
      <c r="W19" s="342">
        <v>44.08</v>
      </c>
      <c r="X19" s="345">
        <v>12.18</v>
      </c>
    </row>
    <row r="20" spans="1:24" ht="24">
      <c r="A20" s="341">
        <v>15</v>
      </c>
      <c r="B20" s="342" t="s">
        <v>2626</v>
      </c>
      <c r="C20" s="342" t="s">
        <v>751</v>
      </c>
      <c r="D20" s="342" t="s">
        <v>718</v>
      </c>
      <c r="E20" s="300" t="s">
        <v>1566</v>
      </c>
      <c r="F20" s="343" t="s">
        <v>1567</v>
      </c>
      <c r="G20" s="344"/>
      <c r="H20" s="342">
        <v>1.28</v>
      </c>
      <c r="I20" s="345">
        <v>1.28</v>
      </c>
      <c r="J20" s="342">
        <v>519.3</v>
      </c>
      <c r="K20" s="656" t="s">
        <v>2629</v>
      </c>
      <c r="L20" s="344">
        <f>1+9</f>
        <v>10</v>
      </c>
      <c r="M20" s="342">
        <f>15.31+10.76</f>
        <v>26.07</v>
      </c>
      <c r="N20" s="342">
        <f>M20</f>
        <v>26.07</v>
      </c>
      <c r="O20" s="344">
        <v>14</v>
      </c>
      <c r="P20" s="344">
        <v>14</v>
      </c>
      <c r="Q20" s="344"/>
      <c r="R20" s="344"/>
      <c r="S20" s="342">
        <v>1831.64</v>
      </c>
      <c r="T20" s="344"/>
      <c r="U20" s="342">
        <v>1.28</v>
      </c>
      <c r="V20" s="344"/>
      <c r="W20" s="342">
        <v>194.56</v>
      </c>
      <c r="X20" s="345">
        <v>53.76</v>
      </c>
    </row>
  </sheetData>
  <sheetProtection/>
  <mergeCells count="24">
    <mergeCell ref="A1:X1"/>
    <mergeCell ref="A2:A4"/>
    <mergeCell ref="B2:B4"/>
    <mergeCell ref="C2:C4"/>
    <mergeCell ref="D2:D4"/>
    <mergeCell ref="E2:E4"/>
    <mergeCell ref="F2:F4"/>
    <mergeCell ref="G2:G4"/>
    <mergeCell ref="H2:I2"/>
    <mergeCell ref="J2:J4"/>
    <mergeCell ref="K2:K4"/>
    <mergeCell ref="T3:T4"/>
    <mergeCell ref="U3:U4"/>
    <mergeCell ref="H3:H4"/>
    <mergeCell ref="I3:I4"/>
    <mergeCell ref="L3:N3"/>
    <mergeCell ref="O3:P3"/>
    <mergeCell ref="V3:V4"/>
    <mergeCell ref="W3:W4"/>
    <mergeCell ref="X3:X4"/>
    <mergeCell ref="L2:S2"/>
    <mergeCell ref="T2:X2"/>
    <mergeCell ref="S3:S4"/>
    <mergeCell ref="Q3:R3"/>
  </mergeCells>
  <printOptions/>
  <pageMargins left="0.7086614173228347" right="0.1968503937007874"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V31"/>
  <sheetViews>
    <sheetView showZeros="0" zoomScalePageLayoutView="0" workbookViewId="0" topLeftCell="A1">
      <selection activeCell="O19" sqref="O19"/>
    </sheetView>
  </sheetViews>
  <sheetFormatPr defaultColWidth="9.00390625" defaultRowHeight="13.5"/>
  <cols>
    <col min="1" max="1" width="11.125" style="76" customWidth="1"/>
    <col min="2" max="2" width="6.375" style="0" customWidth="1"/>
    <col min="3" max="3" width="12.25390625" style="0" customWidth="1"/>
    <col min="7" max="13" width="6.125" style="0" customWidth="1"/>
    <col min="14" max="14" width="4.375" style="0" customWidth="1"/>
    <col min="18" max="18" width="9.00390625" style="50" customWidth="1"/>
    <col min="19" max="19" width="10.00390625" style="0" hidden="1" customWidth="1"/>
    <col min="20" max="22" width="9.00390625" style="47" customWidth="1"/>
  </cols>
  <sheetData>
    <row r="1" spans="1:20" ht="20.25">
      <c r="A1" s="757" t="s">
        <v>1076</v>
      </c>
      <c r="B1" s="757"/>
      <c r="C1" s="757"/>
      <c r="D1" s="757"/>
      <c r="E1" s="757"/>
      <c r="F1" s="757"/>
      <c r="G1" s="757"/>
      <c r="H1" s="757"/>
      <c r="I1" s="757"/>
      <c r="J1" s="757"/>
      <c r="K1" s="757"/>
      <c r="L1" s="757"/>
      <c r="M1" s="757"/>
      <c r="N1" s="757"/>
      <c r="O1" s="757"/>
      <c r="P1" s="757"/>
      <c r="Q1" s="757"/>
      <c r="R1" s="757"/>
      <c r="S1" s="757"/>
      <c r="T1" s="263"/>
    </row>
    <row r="2" spans="1:20" ht="16.5" customHeight="1">
      <c r="A2" s="759" t="s">
        <v>808</v>
      </c>
      <c r="B2" s="755" t="s">
        <v>1077</v>
      </c>
      <c r="C2" s="755" t="s">
        <v>913</v>
      </c>
      <c r="D2" s="755" t="s">
        <v>1078</v>
      </c>
      <c r="E2" s="755" t="s">
        <v>1079</v>
      </c>
      <c r="F2" s="755" t="s">
        <v>1080</v>
      </c>
      <c r="G2" s="751" t="s">
        <v>987</v>
      </c>
      <c r="H2" s="751"/>
      <c r="I2" s="751" t="s">
        <v>988</v>
      </c>
      <c r="J2" s="751"/>
      <c r="K2" s="261" t="s">
        <v>989</v>
      </c>
      <c r="L2" s="751" t="s">
        <v>990</v>
      </c>
      <c r="M2" s="751"/>
      <c r="N2" s="751" t="s">
        <v>1072</v>
      </c>
      <c r="O2" s="751"/>
      <c r="P2" s="752" t="s">
        <v>991</v>
      </c>
      <c r="Q2" s="752"/>
      <c r="R2" s="752"/>
      <c r="S2" s="753" t="s">
        <v>1081</v>
      </c>
      <c r="T2" s="263"/>
    </row>
    <row r="3" spans="1:20" ht="26.25" customHeight="1">
      <c r="A3" s="760"/>
      <c r="B3" s="756"/>
      <c r="C3" s="756"/>
      <c r="D3" s="756"/>
      <c r="E3" s="756"/>
      <c r="F3" s="756"/>
      <c r="G3" s="261" t="s">
        <v>992</v>
      </c>
      <c r="H3" s="261" t="s">
        <v>993</v>
      </c>
      <c r="I3" s="261" t="s">
        <v>992</v>
      </c>
      <c r="J3" s="261" t="s">
        <v>993</v>
      </c>
      <c r="K3" s="261" t="s">
        <v>994</v>
      </c>
      <c r="L3" s="261" t="s">
        <v>994</v>
      </c>
      <c r="M3" s="261" t="s">
        <v>995</v>
      </c>
      <c r="N3" s="261" t="s">
        <v>1073</v>
      </c>
      <c r="O3" s="261" t="s">
        <v>2303</v>
      </c>
      <c r="P3" s="261" t="s">
        <v>1074</v>
      </c>
      <c r="Q3" s="261" t="s">
        <v>1075</v>
      </c>
      <c r="R3" s="261" t="s">
        <v>996</v>
      </c>
      <c r="S3" s="754"/>
      <c r="T3" s="263"/>
    </row>
    <row r="4" spans="1:22" s="97" customFormat="1" ht="26.25" customHeight="1">
      <c r="A4" s="347" t="s">
        <v>1747</v>
      </c>
      <c r="B4" s="348"/>
      <c r="C4" s="348"/>
      <c r="D4" s="348">
        <f>SUM(D5:D30)</f>
        <v>42160</v>
      </c>
      <c r="E4" s="348">
        <f aca="true" t="shared" si="0" ref="E4:R4">SUM(E5:E30)</f>
        <v>0</v>
      </c>
      <c r="F4" s="348">
        <f t="shared" si="0"/>
        <v>19077.8129</v>
      </c>
      <c r="G4" s="348">
        <f t="shared" si="0"/>
        <v>150</v>
      </c>
      <c r="H4" s="348">
        <f t="shared" si="0"/>
        <v>226.5</v>
      </c>
      <c r="I4" s="348">
        <f t="shared" si="0"/>
        <v>50</v>
      </c>
      <c r="J4" s="348">
        <f t="shared" si="0"/>
        <v>76.80000000000001</v>
      </c>
      <c r="K4" s="348">
        <f t="shared" si="0"/>
        <v>240</v>
      </c>
      <c r="L4" s="348">
        <f t="shared" si="0"/>
        <v>33</v>
      </c>
      <c r="M4" s="348">
        <f t="shared" si="0"/>
        <v>523</v>
      </c>
      <c r="N4" s="348">
        <f t="shared" si="0"/>
        <v>8</v>
      </c>
      <c r="O4" s="348">
        <f t="shared" si="0"/>
        <v>1.0757</v>
      </c>
      <c r="P4" s="348">
        <f t="shared" si="0"/>
        <v>1.254</v>
      </c>
      <c r="Q4" s="349">
        <f t="shared" si="0"/>
        <v>5.529249999999999</v>
      </c>
      <c r="R4" s="348">
        <f t="shared" si="0"/>
        <v>5.817900000000001</v>
      </c>
      <c r="S4" s="350"/>
      <c r="T4" s="351"/>
      <c r="U4" s="229"/>
      <c r="V4" s="229"/>
    </row>
    <row r="5" spans="1:20" ht="15" customHeight="1">
      <c r="A5" s="352" t="s">
        <v>1297</v>
      </c>
      <c r="B5" s="267" t="s">
        <v>1298</v>
      </c>
      <c r="C5" s="267" t="s">
        <v>1297</v>
      </c>
      <c r="D5" s="267">
        <v>1461</v>
      </c>
      <c r="E5" s="267" t="s">
        <v>1299</v>
      </c>
      <c r="F5" s="267">
        <v>752</v>
      </c>
      <c r="G5" s="267">
        <v>3</v>
      </c>
      <c r="H5" s="267">
        <v>13.8</v>
      </c>
      <c r="I5" s="267">
        <v>2</v>
      </c>
      <c r="J5" s="267">
        <v>2</v>
      </c>
      <c r="K5" s="267">
        <v>2</v>
      </c>
      <c r="L5" s="267">
        <v>4</v>
      </c>
      <c r="M5" s="267">
        <v>80</v>
      </c>
      <c r="N5" s="267">
        <v>1</v>
      </c>
      <c r="O5" s="331">
        <v>0.2096</v>
      </c>
      <c r="P5" s="331">
        <v>0.2</v>
      </c>
      <c r="Q5" s="353">
        <v>0.15</v>
      </c>
      <c r="R5" s="331">
        <v>0.7</v>
      </c>
      <c r="S5" s="354">
        <v>2149</v>
      </c>
      <c r="T5" s="355">
        <v>1</v>
      </c>
    </row>
    <row r="6" spans="1:20" ht="15" customHeight="1">
      <c r="A6" s="352" t="s">
        <v>1300</v>
      </c>
      <c r="B6" s="267" t="s">
        <v>1298</v>
      </c>
      <c r="C6" s="267" t="s">
        <v>1300</v>
      </c>
      <c r="D6" s="267">
        <v>2015</v>
      </c>
      <c r="E6" s="267" t="s">
        <v>1299</v>
      </c>
      <c r="F6" s="267">
        <v>740</v>
      </c>
      <c r="G6" s="267">
        <v>10</v>
      </c>
      <c r="H6" s="267">
        <v>28</v>
      </c>
      <c r="I6" s="267"/>
      <c r="J6" s="267"/>
      <c r="K6" s="267">
        <v>4</v>
      </c>
      <c r="L6" s="267">
        <v>4</v>
      </c>
      <c r="M6" s="267">
        <v>100</v>
      </c>
      <c r="N6" s="267">
        <v>1</v>
      </c>
      <c r="O6" s="331">
        <v>0.11</v>
      </c>
      <c r="P6" s="331">
        <v>0.25</v>
      </c>
      <c r="Q6" s="353">
        <v>0.2</v>
      </c>
      <c r="R6" s="331">
        <v>0.3</v>
      </c>
      <c r="S6" s="354">
        <v>1644</v>
      </c>
      <c r="T6" s="355">
        <v>2</v>
      </c>
    </row>
    <row r="7" spans="1:20" ht="15" customHeight="1">
      <c r="A7" s="356" t="s">
        <v>1389</v>
      </c>
      <c r="B7" s="264" t="s">
        <v>1390</v>
      </c>
      <c r="C7" s="66" t="s">
        <v>1391</v>
      </c>
      <c r="D7" s="264">
        <v>5531</v>
      </c>
      <c r="E7" s="264" t="s">
        <v>1392</v>
      </c>
      <c r="F7" s="66">
        <v>3064</v>
      </c>
      <c r="G7" s="66">
        <v>12</v>
      </c>
      <c r="H7" s="66">
        <v>21</v>
      </c>
      <c r="I7" s="66">
        <v>5</v>
      </c>
      <c r="J7" s="66">
        <v>16</v>
      </c>
      <c r="K7" s="66">
        <v>25</v>
      </c>
      <c r="L7" s="66">
        <v>3</v>
      </c>
      <c r="M7" s="66">
        <v>30</v>
      </c>
      <c r="N7" s="264">
        <v>2</v>
      </c>
      <c r="O7" s="265">
        <v>0.4151</v>
      </c>
      <c r="P7" s="357">
        <v>0.4301</v>
      </c>
      <c r="Q7" s="358">
        <v>0.138</v>
      </c>
      <c r="R7" s="357">
        <v>0.1146</v>
      </c>
      <c r="S7" s="359">
        <v>5539.685409510034</v>
      </c>
      <c r="T7" s="355">
        <v>3</v>
      </c>
    </row>
    <row r="8" spans="1:20" ht="15" customHeight="1">
      <c r="A8" s="356" t="s">
        <v>1393</v>
      </c>
      <c r="B8" s="264" t="s">
        <v>1390</v>
      </c>
      <c r="C8" s="66" t="s">
        <v>1394</v>
      </c>
      <c r="D8" s="264">
        <v>1620</v>
      </c>
      <c r="E8" s="264" t="s">
        <v>1395</v>
      </c>
      <c r="F8" s="66">
        <v>1700</v>
      </c>
      <c r="G8" s="66">
        <v>8</v>
      </c>
      <c r="H8" s="66">
        <v>15</v>
      </c>
      <c r="I8" s="66">
        <v>3</v>
      </c>
      <c r="J8" s="66">
        <v>10</v>
      </c>
      <c r="K8" s="66">
        <v>20</v>
      </c>
      <c r="L8" s="66">
        <v>2</v>
      </c>
      <c r="M8" s="66">
        <v>15</v>
      </c>
      <c r="N8" s="264"/>
      <c r="O8" s="265">
        <v>0</v>
      </c>
      <c r="P8" s="357">
        <v>0.017</v>
      </c>
      <c r="Q8" s="358">
        <v>0.162</v>
      </c>
      <c r="R8" s="357">
        <v>0.1845</v>
      </c>
      <c r="S8" s="359">
        <v>10493.827160493827</v>
      </c>
      <c r="T8" s="355">
        <v>4</v>
      </c>
    </row>
    <row r="9" spans="1:20" ht="15" customHeight="1">
      <c r="A9" s="356" t="s">
        <v>1396</v>
      </c>
      <c r="B9" s="264" t="s">
        <v>1390</v>
      </c>
      <c r="C9" s="66" t="s">
        <v>1397</v>
      </c>
      <c r="D9" s="264">
        <v>1850</v>
      </c>
      <c r="E9" s="264" t="s">
        <v>1395</v>
      </c>
      <c r="F9" s="66">
        <v>1800</v>
      </c>
      <c r="G9" s="66">
        <v>16</v>
      </c>
      <c r="H9" s="66">
        <v>30</v>
      </c>
      <c r="I9" s="66">
        <v>4</v>
      </c>
      <c r="J9" s="66">
        <v>8</v>
      </c>
      <c r="K9" s="66">
        <v>32</v>
      </c>
      <c r="L9" s="66">
        <v>4</v>
      </c>
      <c r="M9" s="66">
        <v>35</v>
      </c>
      <c r="N9" s="264"/>
      <c r="O9" s="265">
        <v>0</v>
      </c>
      <c r="P9" s="357">
        <v>0.024</v>
      </c>
      <c r="Q9" s="358">
        <v>0.185</v>
      </c>
      <c r="R9" s="357">
        <v>0.2281</v>
      </c>
      <c r="S9" s="359">
        <v>9729.72972972973</v>
      </c>
      <c r="T9" s="355">
        <v>5</v>
      </c>
    </row>
    <row r="10" spans="1:20" ht="15" customHeight="1">
      <c r="A10" s="356" t="s">
        <v>1398</v>
      </c>
      <c r="B10" s="264" t="s">
        <v>1390</v>
      </c>
      <c r="C10" s="66" t="s">
        <v>1399</v>
      </c>
      <c r="D10" s="264">
        <v>1560</v>
      </c>
      <c r="E10" s="264" t="s">
        <v>1395</v>
      </c>
      <c r="F10" s="66">
        <v>1700</v>
      </c>
      <c r="G10" s="66">
        <v>6</v>
      </c>
      <c r="H10" s="66">
        <v>6</v>
      </c>
      <c r="I10" s="66">
        <v>5</v>
      </c>
      <c r="J10" s="66">
        <v>5</v>
      </c>
      <c r="K10" s="66">
        <v>21</v>
      </c>
      <c r="L10" s="66">
        <v>2</v>
      </c>
      <c r="M10" s="66">
        <v>15</v>
      </c>
      <c r="N10" s="264"/>
      <c r="O10" s="265">
        <v>0</v>
      </c>
      <c r="P10" s="357">
        <v>0.012</v>
      </c>
      <c r="Q10" s="358">
        <v>0.156</v>
      </c>
      <c r="R10" s="357">
        <v>0.2185</v>
      </c>
      <c r="S10" s="359">
        <v>10897.435897435897</v>
      </c>
      <c r="T10" s="355">
        <v>6</v>
      </c>
    </row>
    <row r="11" spans="1:20" ht="15" customHeight="1">
      <c r="A11" s="356" t="s">
        <v>1400</v>
      </c>
      <c r="B11" s="264" t="s">
        <v>1390</v>
      </c>
      <c r="C11" s="66" t="s">
        <v>1401</v>
      </c>
      <c r="D11" s="264">
        <v>2280</v>
      </c>
      <c r="E11" s="264" t="s">
        <v>1402</v>
      </c>
      <c r="F11" s="66">
        <v>2144</v>
      </c>
      <c r="G11" s="66">
        <v>7</v>
      </c>
      <c r="H11" s="66">
        <v>8</v>
      </c>
      <c r="I11" s="66">
        <v>6</v>
      </c>
      <c r="J11" s="66">
        <v>5</v>
      </c>
      <c r="K11" s="66">
        <v>12</v>
      </c>
      <c r="L11" s="66">
        <v>1</v>
      </c>
      <c r="M11" s="66">
        <v>22</v>
      </c>
      <c r="N11" s="264">
        <v>1</v>
      </c>
      <c r="O11" s="265">
        <v>0.105</v>
      </c>
      <c r="P11" s="357">
        <v>0.119</v>
      </c>
      <c r="Q11" s="358">
        <v>0.123</v>
      </c>
      <c r="R11" s="357">
        <v>0.1047</v>
      </c>
      <c r="S11" s="359">
        <v>9403.508771929824</v>
      </c>
      <c r="T11" s="355">
        <v>7</v>
      </c>
    </row>
    <row r="12" spans="1:20" ht="15" customHeight="1">
      <c r="A12" s="356" t="s">
        <v>1403</v>
      </c>
      <c r="B12" s="264" t="s">
        <v>1390</v>
      </c>
      <c r="C12" s="66" t="s">
        <v>1404</v>
      </c>
      <c r="D12" s="264">
        <v>1280</v>
      </c>
      <c r="E12" s="264" t="s">
        <v>1395</v>
      </c>
      <c r="F12" s="66">
        <v>1400</v>
      </c>
      <c r="G12" s="66">
        <v>10</v>
      </c>
      <c r="H12" s="66">
        <v>13</v>
      </c>
      <c r="I12" s="66">
        <v>4</v>
      </c>
      <c r="J12" s="66">
        <v>5</v>
      </c>
      <c r="K12" s="66">
        <v>3</v>
      </c>
      <c r="L12" s="66">
        <v>1</v>
      </c>
      <c r="M12" s="66">
        <v>11</v>
      </c>
      <c r="N12" s="264"/>
      <c r="O12" s="265">
        <v>0</v>
      </c>
      <c r="P12" s="357">
        <v>0.01</v>
      </c>
      <c r="Q12" s="358">
        <v>0.128</v>
      </c>
      <c r="R12" s="357">
        <v>0.1768</v>
      </c>
      <c r="S12" s="359">
        <v>10937.5</v>
      </c>
      <c r="T12" s="355">
        <v>8</v>
      </c>
    </row>
    <row r="13" spans="1:20" ht="15" customHeight="1">
      <c r="A13" s="360" t="s">
        <v>1568</v>
      </c>
      <c r="B13" s="296" t="s">
        <v>1054</v>
      </c>
      <c r="C13" s="296" t="s">
        <v>1569</v>
      </c>
      <c r="D13" s="296">
        <v>3600</v>
      </c>
      <c r="E13" s="265" t="s">
        <v>1570</v>
      </c>
      <c r="F13" s="296">
        <v>425</v>
      </c>
      <c r="G13" s="296">
        <v>1</v>
      </c>
      <c r="H13" s="296">
        <v>8.5</v>
      </c>
      <c r="I13" s="296"/>
      <c r="J13" s="296"/>
      <c r="K13" s="296">
        <v>3</v>
      </c>
      <c r="L13" s="296"/>
      <c r="M13" s="296"/>
      <c r="N13" s="296"/>
      <c r="O13" s="331">
        <v>0</v>
      </c>
      <c r="P13" s="331"/>
      <c r="Q13" s="353">
        <v>0.36</v>
      </c>
      <c r="R13" s="331">
        <v>0.21</v>
      </c>
      <c r="S13" s="361">
        <f>F13/Q13</f>
        <v>1180.5555555555557</v>
      </c>
      <c r="T13" s="355">
        <v>9</v>
      </c>
    </row>
    <row r="14" spans="1:20" ht="15" customHeight="1">
      <c r="A14" s="360" t="s">
        <v>1571</v>
      </c>
      <c r="B14" s="296" t="s">
        <v>1054</v>
      </c>
      <c r="C14" s="296" t="s">
        <v>1569</v>
      </c>
      <c r="D14" s="296">
        <v>3400</v>
      </c>
      <c r="E14" s="265" t="s">
        <v>1570</v>
      </c>
      <c r="F14" s="296">
        <v>401</v>
      </c>
      <c r="G14" s="296">
        <v>1</v>
      </c>
      <c r="H14" s="296">
        <v>7.3</v>
      </c>
      <c r="I14" s="296"/>
      <c r="J14" s="296"/>
      <c r="K14" s="296">
        <v>4</v>
      </c>
      <c r="L14" s="296"/>
      <c r="M14" s="296"/>
      <c r="N14" s="296"/>
      <c r="O14" s="331">
        <v>0</v>
      </c>
      <c r="P14" s="331"/>
      <c r="Q14" s="353">
        <v>0.34</v>
      </c>
      <c r="R14" s="331">
        <v>0.2</v>
      </c>
      <c r="S14" s="361">
        <f>F14/Q14</f>
        <v>1179.4117647058822</v>
      </c>
      <c r="T14" s="355">
        <v>10</v>
      </c>
    </row>
    <row r="15" spans="1:20" ht="15" customHeight="1">
      <c r="A15" s="360" t="s">
        <v>1572</v>
      </c>
      <c r="B15" s="296" t="s">
        <v>1054</v>
      </c>
      <c r="C15" s="296" t="s">
        <v>1573</v>
      </c>
      <c r="D15" s="296">
        <v>3300</v>
      </c>
      <c r="E15" s="265" t="s">
        <v>1570</v>
      </c>
      <c r="F15" s="296">
        <v>348</v>
      </c>
      <c r="G15" s="296">
        <v>1</v>
      </c>
      <c r="H15" s="296">
        <v>5.8</v>
      </c>
      <c r="I15" s="296"/>
      <c r="J15" s="296"/>
      <c r="K15" s="296">
        <v>5</v>
      </c>
      <c r="L15" s="296"/>
      <c r="M15" s="296"/>
      <c r="N15" s="296"/>
      <c r="O15" s="331">
        <v>0</v>
      </c>
      <c r="P15" s="331"/>
      <c r="Q15" s="353">
        <v>0.33</v>
      </c>
      <c r="R15" s="331">
        <v>0.19</v>
      </c>
      <c r="S15" s="361">
        <f>F15/Q15</f>
        <v>1054.5454545454545</v>
      </c>
      <c r="T15" s="355">
        <v>11</v>
      </c>
    </row>
    <row r="16" spans="1:20" ht="15" customHeight="1">
      <c r="A16" s="360" t="s">
        <v>1574</v>
      </c>
      <c r="B16" s="296" t="s">
        <v>1050</v>
      </c>
      <c r="C16" s="296" t="s">
        <v>1575</v>
      </c>
      <c r="D16" s="296">
        <v>3500</v>
      </c>
      <c r="E16" s="265" t="s">
        <v>1570</v>
      </c>
      <c r="F16" s="296">
        <v>390</v>
      </c>
      <c r="G16" s="296">
        <v>1</v>
      </c>
      <c r="H16" s="296">
        <v>6.5</v>
      </c>
      <c r="I16" s="296"/>
      <c r="J16" s="296"/>
      <c r="K16" s="296">
        <v>5</v>
      </c>
      <c r="L16" s="296"/>
      <c r="M16" s="296"/>
      <c r="N16" s="296"/>
      <c r="O16" s="331">
        <v>0</v>
      </c>
      <c r="P16" s="331"/>
      <c r="Q16" s="353">
        <v>0.35</v>
      </c>
      <c r="R16" s="331">
        <v>0.49</v>
      </c>
      <c r="S16" s="361">
        <f>F16/Q16</f>
        <v>1114.2857142857144</v>
      </c>
      <c r="T16" s="355">
        <v>12</v>
      </c>
    </row>
    <row r="17" spans="1:22" s="64" customFormat="1" ht="15" customHeight="1">
      <c r="A17" s="356" t="s">
        <v>78</v>
      </c>
      <c r="B17" s="264" t="s">
        <v>79</v>
      </c>
      <c r="C17" s="362" t="s">
        <v>80</v>
      </c>
      <c r="D17" s="264">
        <v>1760</v>
      </c>
      <c r="E17" s="362" t="s">
        <v>81</v>
      </c>
      <c r="F17" s="363">
        <f>H17*15+J17*12+L17*5</f>
        <v>130</v>
      </c>
      <c r="G17" s="264">
        <v>3</v>
      </c>
      <c r="H17" s="264">
        <v>3.6</v>
      </c>
      <c r="I17" s="264">
        <v>5</v>
      </c>
      <c r="J17" s="264">
        <f>5500/1000</f>
        <v>5.5</v>
      </c>
      <c r="K17" s="264">
        <v>4</v>
      </c>
      <c r="L17" s="264">
        <v>2</v>
      </c>
      <c r="M17" s="264">
        <v>37</v>
      </c>
      <c r="N17" s="264"/>
      <c r="O17" s="265">
        <v>0</v>
      </c>
      <c r="P17" s="265"/>
      <c r="Q17" s="364">
        <v>0.791</v>
      </c>
      <c r="R17" s="331">
        <v>0.177</v>
      </c>
      <c r="S17" s="365">
        <v>738.6</v>
      </c>
      <c r="T17" s="355">
        <v>13</v>
      </c>
      <c r="U17" s="47"/>
      <c r="V17" s="230"/>
    </row>
    <row r="18" spans="1:22" s="64" customFormat="1" ht="15" customHeight="1">
      <c r="A18" s="356" t="s">
        <v>82</v>
      </c>
      <c r="B18" s="264" t="s">
        <v>79</v>
      </c>
      <c r="C18" s="362" t="s">
        <v>83</v>
      </c>
      <c r="D18" s="264">
        <v>1640</v>
      </c>
      <c r="E18" s="362" t="s">
        <v>81</v>
      </c>
      <c r="F18" s="264">
        <f>H18*15+J18*12+L18*5</f>
        <v>131.4</v>
      </c>
      <c r="G18" s="296">
        <v>5</v>
      </c>
      <c r="H18" s="296">
        <v>4</v>
      </c>
      <c r="I18" s="296">
        <v>4</v>
      </c>
      <c r="J18" s="296">
        <f>4700/1000</f>
        <v>4.7</v>
      </c>
      <c r="K18" s="264">
        <v>5</v>
      </c>
      <c r="L18" s="264">
        <v>3</v>
      </c>
      <c r="M18" s="264">
        <v>70</v>
      </c>
      <c r="N18" s="362"/>
      <c r="O18" s="366">
        <v>0</v>
      </c>
      <c r="P18" s="366"/>
      <c r="Q18" s="353">
        <v>0.87</v>
      </c>
      <c r="R18" s="265">
        <v>0.165</v>
      </c>
      <c r="S18" s="365">
        <v>801.2</v>
      </c>
      <c r="T18" s="355">
        <v>14</v>
      </c>
      <c r="U18" s="47"/>
      <c r="V18" s="230"/>
    </row>
    <row r="19" spans="1:22" s="64" customFormat="1" ht="15" customHeight="1">
      <c r="A19" s="356" t="s">
        <v>84</v>
      </c>
      <c r="B19" s="264" t="s">
        <v>79</v>
      </c>
      <c r="C19" s="362" t="s">
        <v>85</v>
      </c>
      <c r="D19" s="264">
        <v>1080</v>
      </c>
      <c r="E19" s="362" t="s">
        <v>81</v>
      </c>
      <c r="F19" s="264">
        <v>79.9</v>
      </c>
      <c r="G19" s="264">
        <v>3</v>
      </c>
      <c r="H19" s="264">
        <v>1.6</v>
      </c>
      <c r="I19" s="264">
        <v>2</v>
      </c>
      <c r="J19" s="264">
        <v>3.2</v>
      </c>
      <c r="K19" s="264">
        <v>2</v>
      </c>
      <c r="L19" s="264">
        <v>1</v>
      </c>
      <c r="M19" s="264">
        <v>18</v>
      </c>
      <c r="N19" s="362"/>
      <c r="O19" s="366">
        <v>0</v>
      </c>
      <c r="P19" s="366"/>
      <c r="Q19" s="364">
        <v>0.64</v>
      </c>
      <c r="R19" s="265">
        <v>0.108</v>
      </c>
      <c r="S19" s="367">
        <v>740</v>
      </c>
      <c r="T19" s="355">
        <v>15</v>
      </c>
      <c r="U19" s="47"/>
      <c r="V19" s="230"/>
    </row>
    <row r="20" spans="1:22" s="64" customFormat="1" ht="15" customHeight="1">
      <c r="A20" s="368" t="s">
        <v>86</v>
      </c>
      <c r="B20" s="265" t="s">
        <v>87</v>
      </c>
      <c r="C20" s="265" t="s">
        <v>86</v>
      </c>
      <c r="D20" s="265">
        <v>268</v>
      </c>
      <c r="E20" s="366" t="s">
        <v>88</v>
      </c>
      <c r="F20" s="265">
        <v>318.59999999999997</v>
      </c>
      <c r="G20" s="265">
        <v>0</v>
      </c>
      <c r="H20" s="265">
        <v>0</v>
      </c>
      <c r="I20" s="265">
        <v>0</v>
      </c>
      <c r="J20" s="265">
        <v>0</v>
      </c>
      <c r="K20" s="265">
        <v>8</v>
      </c>
      <c r="L20" s="265">
        <v>0</v>
      </c>
      <c r="M20" s="265">
        <v>0</v>
      </c>
      <c r="N20" s="265">
        <v>0</v>
      </c>
      <c r="O20" s="265">
        <v>0</v>
      </c>
      <c r="P20" s="265">
        <v>0</v>
      </c>
      <c r="Q20" s="364">
        <v>0.0268</v>
      </c>
      <c r="R20" s="265">
        <v>0.1955</v>
      </c>
      <c r="S20" s="369">
        <f aca="true" t="shared" si="1" ref="S20:S26">F20/(Q20+P20)</f>
        <v>11888.059701492535</v>
      </c>
      <c r="T20" s="355">
        <v>16</v>
      </c>
      <c r="U20" s="47"/>
      <c r="V20" s="230"/>
    </row>
    <row r="21" spans="1:22" s="64" customFormat="1" ht="15" customHeight="1">
      <c r="A21" s="224" t="s">
        <v>89</v>
      </c>
      <c r="B21" s="265" t="s">
        <v>87</v>
      </c>
      <c r="C21" s="71" t="s">
        <v>89</v>
      </c>
      <c r="D21" s="71">
        <v>136</v>
      </c>
      <c r="E21" s="366" t="s">
        <v>88</v>
      </c>
      <c r="F21" s="71">
        <v>197.9</v>
      </c>
      <c r="G21" s="71">
        <v>0</v>
      </c>
      <c r="H21" s="71">
        <v>0</v>
      </c>
      <c r="I21" s="71">
        <v>0</v>
      </c>
      <c r="J21" s="71">
        <v>0</v>
      </c>
      <c r="K21" s="71">
        <v>5</v>
      </c>
      <c r="L21" s="71">
        <v>0</v>
      </c>
      <c r="M21" s="71">
        <v>0</v>
      </c>
      <c r="N21" s="71">
        <v>0</v>
      </c>
      <c r="O21" s="71">
        <v>0</v>
      </c>
      <c r="P21" s="71">
        <v>0</v>
      </c>
      <c r="Q21" s="257">
        <v>0.0136</v>
      </c>
      <c r="R21" s="71">
        <v>0.14</v>
      </c>
      <c r="S21" s="369">
        <f t="shared" si="1"/>
        <v>14551.470588235296</v>
      </c>
      <c r="T21" s="355">
        <v>17</v>
      </c>
      <c r="U21" s="47"/>
      <c r="V21" s="230"/>
    </row>
    <row r="22" spans="1:22" s="64" customFormat="1" ht="15" customHeight="1">
      <c r="A22" s="224" t="s">
        <v>90</v>
      </c>
      <c r="B22" s="265" t="s">
        <v>87</v>
      </c>
      <c r="C22" s="71" t="s">
        <v>90</v>
      </c>
      <c r="D22" s="71">
        <v>83</v>
      </c>
      <c r="E22" s="366" t="s">
        <v>88</v>
      </c>
      <c r="F22" s="71">
        <v>110.2</v>
      </c>
      <c r="G22" s="71">
        <v>0</v>
      </c>
      <c r="H22" s="71">
        <v>0</v>
      </c>
      <c r="I22" s="71">
        <v>0</v>
      </c>
      <c r="J22" s="71">
        <v>0</v>
      </c>
      <c r="K22" s="71">
        <v>3</v>
      </c>
      <c r="L22" s="71">
        <v>0</v>
      </c>
      <c r="M22" s="71">
        <v>0</v>
      </c>
      <c r="N22" s="71">
        <v>0</v>
      </c>
      <c r="O22" s="71">
        <v>0</v>
      </c>
      <c r="P22" s="71">
        <v>0</v>
      </c>
      <c r="Q22" s="257">
        <v>0.0083</v>
      </c>
      <c r="R22" s="71">
        <v>0.0759</v>
      </c>
      <c r="S22" s="369">
        <f t="shared" si="1"/>
        <v>13277.10843373494</v>
      </c>
      <c r="T22" s="355">
        <v>18</v>
      </c>
      <c r="U22" s="47"/>
      <c r="V22" s="230"/>
    </row>
    <row r="23" spans="1:22" s="64" customFormat="1" ht="15" customHeight="1">
      <c r="A23" s="224" t="s">
        <v>91</v>
      </c>
      <c r="B23" s="265" t="s">
        <v>87</v>
      </c>
      <c r="C23" s="71" t="s">
        <v>91</v>
      </c>
      <c r="D23" s="71">
        <v>330</v>
      </c>
      <c r="E23" s="366" t="s">
        <v>88</v>
      </c>
      <c r="F23" s="71">
        <v>380</v>
      </c>
      <c r="G23" s="71">
        <v>0</v>
      </c>
      <c r="H23" s="71">
        <v>0</v>
      </c>
      <c r="I23" s="71">
        <v>0</v>
      </c>
      <c r="J23" s="71">
        <v>0</v>
      </c>
      <c r="K23" s="71">
        <v>9</v>
      </c>
      <c r="L23" s="71">
        <v>0</v>
      </c>
      <c r="M23" s="71">
        <v>0</v>
      </c>
      <c r="N23" s="71">
        <v>0</v>
      </c>
      <c r="O23" s="71">
        <v>0</v>
      </c>
      <c r="P23" s="71">
        <v>0</v>
      </c>
      <c r="Q23" s="257">
        <v>0.033</v>
      </c>
      <c r="R23" s="71">
        <v>0.2094</v>
      </c>
      <c r="S23" s="369">
        <f t="shared" si="1"/>
        <v>11515.151515151514</v>
      </c>
      <c r="T23" s="355">
        <v>19</v>
      </c>
      <c r="U23" s="47"/>
      <c r="V23" s="230"/>
    </row>
    <row r="24" spans="1:22" s="64" customFormat="1" ht="15" customHeight="1">
      <c r="A24" s="225" t="s">
        <v>92</v>
      </c>
      <c r="B24" s="265" t="s">
        <v>87</v>
      </c>
      <c r="C24" s="72" t="s">
        <v>92</v>
      </c>
      <c r="D24" s="226">
        <v>325</v>
      </c>
      <c r="E24" s="366" t="s">
        <v>88</v>
      </c>
      <c r="F24" s="226">
        <v>385</v>
      </c>
      <c r="G24" s="226">
        <v>0</v>
      </c>
      <c r="H24" s="226">
        <v>0</v>
      </c>
      <c r="I24" s="226">
        <v>0</v>
      </c>
      <c r="J24" s="226">
        <v>0</v>
      </c>
      <c r="K24" s="226">
        <v>9</v>
      </c>
      <c r="L24" s="226">
        <v>0</v>
      </c>
      <c r="M24" s="226">
        <v>0</v>
      </c>
      <c r="N24" s="226">
        <v>0</v>
      </c>
      <c r="O24" s="226">
        <v>0</v>
      </c>
      <c r="P24" s="226">
        <v>0</v>
      </c>
      <c r="Q24" s="258">
        <v>0.0325</v>
      </c>
      <c r="R24" s="226">
        <v>0.14689999999999998</v>
      </c>
      <c r="S24" s="369">
        <f t="shared" si="1"/>
        <v>11846.153846153846</v>
      </c>
      <c r="T24" s="355">
        <v>20</v>
      </c>
      <c r="U24" s="47"/>
      <c r="V24" s="230"/>
    </row>
    <row r="25" spans="1:22" s="64" customFormat="1" ht="15" customHeight="1">
      <c r="A25" s="225" t="s">
        <v>93</v>
      </c>
      <c r="B25" s="265" t="s">
        <v>87</v>
      </c>
      <c r="C25" s="72" t="s">
        <v>93</v>
      </c>
      <c r="D25" s="226">
        <v>171</v>
      </c>
      <c r="E25" s="366" t="s">
        <v>88</v>
      </c>
      <c r="F25" s="226">
        <v>178</v>
      </c>
      <c r="G25" s="226">
        <v>0</v>
      </c>
      <c r="H25" s="226">
        <v>0</v>
      </c>
      <c r="I25" s="226">
        <v>0</v>
      </c>
      <c r="J25" s="226">
        <v>0</v>
      </c>
      <c r="K25" s="226">
        <v>4</v>
      </c>
      <c r="L25" s="226">
        <v>0</v>
      </c>
      <c r="M25" s="226">
        <v>0</v>
      </c>
      <c r="N25" s="226">
        <v>0</v>
      </c>
      <c r="O25" s="226">
        <v>0</v>
      </c>
      <c r="P25" s="226">
        <v>0</v>
      </c>
      <c r="Q25" s="258">
        <v>0.0171</v>
      </c>
      <c r="R25" s="226">
        <v>0.055600000000000004</v>
      </c>
      <c r="S25" s="369">
        <f t="shared" si="1"/>
        <v>10409.3567251462</v>
      </c>
      <c r="T25" s="355">
        <v>21</v>
      </c>
      <c r="U25" s="47"/>
      <c r="V25" s="230"/>
    </row>
    <row r="26" spans="1:22" s="64" customFormat="1" ht="15" customHeight="1">
      <c r="A26" s="225" t="s">
        <v>94</v>
      </c>
      <c r="B26" s="265" t="s">
        <v>87</v>
      </c>
      <c r="C26" s="72" t="s">
        <v>94</v>
      </c>
      <c r="D26" s="226">
        <v>200</v>
      </c>
      <c r="E26" s="366" t="s">
        <v>88</v>
      </c>
      <c r="F26" s="226">
        <v>308</v>
      </c>
      <c r="G26" s="226">
        <v>0</v>
      </c>
      <c r="H26" s="226">
        <v>0</v>
      </c>
      <c r="I26" s="226">
        <v>0</v>
      </c>
      <c r="J26" s="226">
        <v>0</v>
      </c>
      <c r="K26" s="226">
        <v>6</v>
      </c>
      <c r="L26" s="226">
        <v>0</v>
      </c>
      <c r="M26" s="226">
        <v>0</v>
      </c>
      <c r="N26" s="226">
        <v>0</v>
      </c>
      <c r="O26" s="226">
        <v>0</v>
      </c>
      <c r="P26" s="226">
        <v>0</v>
      </c>
      <c r="Q26" s="258">
        <v>0.02</v>
      </c>
      <c r="R26" s="226">
        <v>0.077</v>
      </c>
      <c r="S26" s="369">
        <f t="shared" si="1"/>
        <v>15400</v>
      </c>
      <c r="T26" s="355">
        <v>22</v>
      </c>
      <c r="U26" s="47"/>
      <c r="V26" s="230"/>
    </row>
    <row r="27" spans="1:22" s="64" customFormat="1" ht="15" customHeight="1">
      <c r="A27" s="356" t="s">
        <v>95</v>
      </c>
      <c r="B27" s="264" t="s">
        <v>96</v>
      </c>
      <c r="C27" s="264" t="s">
        <v>97</v>
      </c>
      <c r="D27" s="264">
        <v>1500</v>
      </c>
      <c r="E27" s="264" t="s">
        <v>98</v>
      </c>
      <c r="F27" s="264">
        <v>548</v>
      </c>
      <c r="G27" s="264">
        <v>16</v>
      </c>
      <c r="H27" s="264">
        <v>8</v>
      </c>
      <c r="I27" s="264">
        <v>4</v>
      </c>
      <c r="J27" s="264">
        <v>5.4</v>
      </c>
      <c r="K27" s="264">
        <v>25</v>
      </c>
      <c r="L27" s="264">
        <v>3</v>
      </c>
      <c r="M27" s="264">
        <v>45</v>
      </c>
      <c r="N27" s="264">
        <v>1</v>
      </c>
      <c r="O27" s="265">
        <v>0.15</v>
      </c>
      <c r="P27" s="265">
        <v>0.1199</v>
      </c>
      <c r="Q27" s="364">
        <v>0.19995</v>
      </c>
      <c r="R27" s="265">
        <v>0.2504</v>
      </c>
      <c r="S27" s="359">
        <f>F27/O27*10000</f>
        <v>36533333.333333336</v>
      </c>
      <c r="T27" s="355">
        <v>23</v>
      </c>
      <c r="U27" s="47"/>
      <c r="V27" s="230"/>
    </row>
    <row r="28" spans="1:20" ht="15" customHeight="1">
      <c r="A28" s="360" t="s">
        <v>99</v>
      </c>
      <c r="B28" s="296" t="s">
        <v>100</v>
      </c>
      <c r="C28" s="296" t="s">
        <v>99</v>
      </c>
      <c r="D28" s="296">
        <v>1220</v>
      </c>
      <c r="E28" s="296" t="s">
        <v>101</v>
      </c>
      <c r="F28" s="296">
        <f>D28*S28/10000</f>
        <v>474.4084</v>
      </c>
      <c r="G28" s="296">
        <v>14</v>
      </c>
      <c r="H28" s="296">
        <f>G28*800/1000</f>
        <v>11.2</v>
      </c>
      <c r="I28" s="296">
        <v>2</v>
      </c>
      <c r="J28" s="296">
        <v>5</v>
      </c>
      <c r="K28" s="296">
        <v>8</v>
      </c>
      <c r="L28" s="296"/>
      <c r="M28" s="296"/>
      <c r="N28" s="296">
        <v>1</v>
      </c>
      <c r="O28" s="331">
        <v>0.056</v>
      </c>
      <c r="P28" s="331">
        <v>0.032</v>
      </c>
      <c r="Q28" s="353">
        <v>0.09</v>
      </c>
      <c r="R28" s="331">
        <v>0.4</v>
      </c>
      <c r="S28" s="370">
        <f>(H28*1000*120+J28*1000*200+K28*300000+L28*100000+O28*1500)/D28</f>
        <v>3888.593442622951</v>
      </c>
      <c r="T28" s="355">
        <v>24</v>
      </c>
    </row>
    <row r="29" spans="1:20" ht="15" customHeight="1">
      <c r="A29" s="360" t="s">
        <v>102</v>
      </c>
      <c r="B29" s="296" t="s">
        <v>100</v>
      </c>
      <c r="C29" s="296" t="s">
        <v>102</v>
      </c>
      <c r="D29" s="296">
        <v>1350</v>
      </c>
      <c r="E29" s="296" t="s">
        <v>101</v>
      </c>
      <c r="F29" s="296">
        <f>D29*S29/10000</f>
        <v>464.0045</v>
      </c>
      <c r="G29" s="296">
        <v>15</v>
      </c>
      <c r="H29" s="296">
        <f>15*800/1000</f>
        <v>12</v>
      </c>
      <c r="I29" s="296">
        <v>1</v>
      </c>
      <c r="J29" s="296">
        <v>1</v>
      </c>
      <c r="K29" s="296">
        <v>9</v>
      </c>
      <c r="L29" s="296">
        <v>3</v>
      </c>
      <c r="M29" s="296">
        <v>45</v>
      </c>
      <c r="N29" s="296">
        <v>1</v>
      </c>
      <c r="O29" s="331">
        <v>0.03</v>
      </c>
      <c r="P29" s="331">
        <v>0.03</v>
      </c>
      <c r="Q29" s="353">
        <v>0.105</v>
      </c>
      <c r="R29" s="331">
        <v>0.4</v>
      </c>
      <c r="S29" s="370">
        <f>(H29*1000*120+J29*1000*200+K29*300000+L29*100000+O29*1500)/D29</f>
        <v>3437.0703703703703</v>
      </c>
      <c r="T29" s="355">
        <v>25</v>
      </c>
    </row>
    <row r="30" spans="1:20" ht="15" customHeight="1">
      <c r="A30" s="360" t="s">
        <v>103</v>
      </c>
      <c r="B30" s="296" t="s">
        <v>100</v>
      </c>
      <c r="C30" s="296" t="s">
        <v>103</v>
      </c>
      <c r="D30" s="296">
        <v>699.9999999999999</v>
      </c>
      <c r="E30" s="296" t="s">
        <v>101</v>
      </c>
      <c r="F30" s="296">
        <f>D30*S30/10000</f>
        <v>508.4</v>
      </c>
      <c r="G30" s="296">
        <v>18</v>
      </c>
      <c r="H30" s="296">
        <f>9*800/1000+16</f>
        <v>23.2</v>
      </c>
      <c r="I30" s="296">
        <v>3</v>
      </c>
      <c r="J30" s="296">
        <v>1</v>
      </c>
      <c r="K30" s="296">
        <v>7</v>
      </c>
      <c r="L30" s="296"/>
      <c r="M30" s="296"/>
      <c r="N30" s="296"/>
      <c r="O30" s="331">
        <v>0</v>
      </c>
      <c r="P30" s="331">
        <v>0.01</v>
      </c>
      <c r="Q30" s="353">
        <v>0.06</v>
      </c>
      <c r="R30" s="331">
        <v>0.3</v>
      </c>
      <c r="S30" s="370">
        <f>(H30*1000*120+J30*1000*200+K30*300000+L30*100000+O30*1500)/D30</f>
        <v>7262.857142857144</v>
      </c>
      <c r="T30" s="355">
        <v>26</v>
      </c>
    </row>
    <row r="31" spans="1:20" ht="13.5">
      <c r="A31" s="758" t="s">
        <v>104</v>
      </c>
      <c r="B31" s="758"/>
      <c r="C31" s="758"/>
      <c r="D31" s="758"/>
      <c r="E31" s="758"/>
      <c r="F31" s="758"/>
      <c r="G31" s="758"/>
      <c r="H31" s="758"/>
      <c r="I31" s="758"/>
      <c r="J31" s="758"/>
      <c r="K31" s="758"/>
      <c r="L31" s="758"/>
      <c r="M31" s="758"/>
      <c r="N31" s="758"/>
      <c r="O31" s="758"/>
      <c r="P31" s="758"/>
      <c r="Q31" s="758"/>
      <c r="R31" s="758"/>
      <c r="S31" s="758"/>
      <c r="T31" s="355"/>
    </row>
  </sheetData>
  <sheetProtection/>
  <mergeCells count="14">
    <mergeCell ref="A1:S1"/>
    <mergeCell ref="A31:S31"/>
    <mergeCell ref="A2:A3"/>
    <mergeCell ref="B2:B3"/>
    <mergeCell ref="D2:D3"/>
    <mergeCell ref="E2:E3"/>
    <mergeCell ref="F2:F3"/>
    <mergeCell ref="G2:H2"/>
    <mergeCell ref="I2:J2"/>
    <mergeCell ref="L2:M2"/>
    <mergeCell ref="N2:O2"/>
    <mergeCell ref="P2:R2"/>
    <mergeCell ref="S2:S3"/>
    <mergeCell ref="C2:C3"/>
  </mergeCells>
  <printOptions/>
  <pageMargins left="0.57" right="0.15748031496062992" top="0.7480314960629921" bottom="0.7480314960629921"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2017-04-22T00:57:57Z</cp:lastPrinted>
  <dcterms:created xsi:type="dcterms:W3CDTF">2015-03-28T07:01:24Z</dcterms:created>
  <dcterms:modified xsi:type="dcterms:W3CDTF">2017-04-22T01:00:23Z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